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" yWindow="12" windowWidth="20556" windowHeight="3696" tabRatio="734"/>
  </bookViews>
  <sheets>
    <sheet name="BreakDown Tangki" sheetId="11" r:id="rId1"/>
    <sheet name="Tangki Solar" sheetId="8" r:id="rId2"/>
    <sheet name="rab 2016" sheetId="7" r:id="rId3"/>
    <sheet name="rab 2015" sheetId="6" r:id="rId4"/>
    <sheet name="rab 2012" sheetId="1" r:id="rId5"/>
    <sheet name="BreakDown" sheetId="4" r:id="rId6"/>
    <sheet name="Scudel" sheetId="3" r:id="rId7"/>
    <sheet name="Material" sheetId="5" r:id="rId8"/>
    <sheet name="Alas dasar Pengadaan" sheetId="10" r:id="rId9"/>
  </sheets>
  <externalReferences>
    <externalReference r:id="rId10"/>
    <externalReference r:id="rId11"/>
  </externalReferences>
  <definedNames>
    <definedName name="_xlnm.Print_Area" localSheetId="5">BreakDown!$B$37:$I$177</definedName>
    <definedName name="_xlnm.Print_Area" localSheetId="0">'BreakDown Tangki'!$D$35:$AB$54</definedName>
    <definedName name="_xlnm.Print_Area" localSheetId="2">'rab 2016'!$A$1192:$H$1230</definedName>
    <definedName name="_xlnm.Print_Area" localSheetId="1">'Tangki Solar'!$A$458:$I$493</definedName>
  </definedNames>
  <calcPr calcId="124519"/>
</workbook>
</file>

<file path=xl/calcChain.xml><?xml version="1.0" encoding="utf-8"?>
<calcChain xmlns="http://schemas.openxmlformats.org/spreadsheetml/2006/main">
  <c r="X45" i="11"/>
  <c r="X46"/>
  <c r="W45"/>
  <c r="W46"/>
  <c r="X40"/>
  <c r="X41"/>
  <c r="X42"/>
  <c r="X43"/>
  <c r="X44"/>
  <c r="X47"/>
  <c r="X48"/>
  <c r="X49"/>
  <c r="X50"/>
  <c r="X39"/>
  <c r="W39"/>
  <c r="W40"/>
  <c r="W41"/>
  <c r="W42"/>
  <c r="W43"/>
  <c r="W47"/>
  <c r="W48"/>
  <c r="W50"/>
  <c r="Q484" i="8"/>
  <c r="R484" s="1"/>
  <c r="S484" s="1"/>
  <c r="T484" s="1"/>
  <c r="U484" s="1"/>
  <c r="V484" s="1"/>
  <c r="W484" s="1"/>
  <c r="X484" s="1"/>
  <c r="P484"/>
  <c r="X54" i="11" l="1"/>
  <c r="W54"/>
  <c r="W55" s="1"/>
  <c r="AL46"/>
  <c r="AJ46"/>
  <c r="AH46"/>
  <c r="S46"/>
  <c r="Q46"/>
  <c r="P46"/>
  <c r="O46"/>
  <c r="R46" s="1"/>
  <c r="U46" s="1"/>
  <c r="AL48"/>
  <c r="AJ48"/>
  <c r="AH48"/>
  <c r="S48"/>
  <c r="Q48"/>
  <c r="P48"/>
  <c r="O48"/>
  <c r="AL47"/>
  <c r="AJ47"/>
  <c r="AH47"/>
  <c r="S47"/>
  <c r="Q47"/>
  <c r="P47"/>
  <c r="O47"/>
  <c r="H677" i="8"/>
  <c r="A677"/>
  <c r="H676"/>
  <c r="I678" s="1"/>
  <c r="K675"/>
  <c r="K673"/>
  <c r="H673"/>
  <c r="K672"/>
  <c r="H672"/>
  <c r="H671"/>
  <c r="A671"/>
  <c r="A672" s="1"/>
  <c r="A673" s="1"/>
  <c r="D670"/>
  <c r="H670" s="1"/>
  <c r="A670"/>
  <c r="N669"/>
  <c r="M669"/>
  <c r="H669"/>
  <c r="H645"/>
  <c r="I646" s="1"/>
  <c r="K644"/>
  <c r="K642"/>
  <c r="H642"/>
  <c r="K641"/>
  <c r="H641"/>
  <c r="K640"/>
  <c r="D640"/>
  <c r="H640" s="1"/>
  <c r="K639"/>
  <c r="H639"/>
  <c r="D638"/>
  <c r="H638" s="1"/>
  <c r="K637"/>
  <c r="H637"/>
  <c r="H636"/>
  <c r="H635"/>
  <c r="A635"/>
  <c r="A636" s="1"/>
  <c r="A637" s="1"/>
  <c r="A638" s="1"/>
  <c r="A639" s="1"/>
  <c r="A640" s="1"/>
  <c r="A641" s="1"/>
  <c r="A642" s="1"/>
  <c r="M634"/>
  <c r="H634"/>
  <c r="G605"/>
  <c r="H605" s="1"/>
  <c r="H611"/>
  <c r="H610"/>
  <c r="A610"/>
  <c r="A611" s="1"/>
  <c r="H609"/>
  <c r="K608"/>
  <c r="H606"/>
  <c r="A606"/>
  <c r="N605"/>
  <c r="M605"/>
  <c r="K364"/>
  <c r="H582"/>
  <c r="A581"/>
  <c r="A582" s="1"/>
  <c r="H581"/>
  <c r="H580"/>
  <c r="K579"/>
  <c r="N577"/>
  <c r="M577"/>
  <c r="H577"/>
  <c r="H576"/>
  <c r="A576"/>
  <c r="A577" s="1"/>
  <c r="N575"/>
  <c r="M575"/>
  <c r="H575"/>
  <c r="V46" i="11" l="1"/>
  <c r="AM46" s="1"/>
  <c r="AD46"/>
  <c r="AE46"/>
  <c r="R48"/>
  <c r="U48" s="1"/>
  <c r="AD48" s="1"/>
  <c r="R47"/>
  <c r="U47" s="1"/>
  <c r="AE47" s="1"/>
  <c r="I674" i="8"/>
  <c r="I679" s="1"/>
  <c r="I681" s="1"/>
  <c r="I682" s="1"/>
  <c r="I643"/>
  <c r="I647" s="1"/>
  <c r="I650" s="1"/>
  <c r="I651" s="1"/>
  <c r="I612"/>
  <c r="I607"/>
  <c r="I583"/>
  <c r="I578"/>
  <c r="AE48" i="11" l="1"/>
  <c r="V48"/>
  <c r="AM48" s="1"/>
  <c r="V47"/>
  <c r="AM47" s="1"/>
  <c r="AD47"/>
  <c r="I613" i="8"/>
  <c r="I615" s="1"/>
  <c r="I616" s="1"/>
  <c r="I584"/>
  <c r="I586" s="1"/>
  <c r="I587" s="1"/>
  <c r="AJ54" i="11" l="1"/>
  <c r="AJ56" s="1"/>
  <c r="AJ57" s="1"/>
  <c r="AJ45"/>
  <c r="AJ39"/>
  <c r="AQ54"/>
  <c r="AP54"/>
  <c r="H554" i="8"/>
  <c r="A554"/>
  <c r="H553"/>
  <c r="K552"/>
  <c r="H550"/>
  <c r="H549"/>
  <c r="A549"/>
  <c r="A550" s="1"/>
  <c r="N548"/>
  <c r="M548"/>
  <c r="H548"/>
  <c r="A544"/>
  <c r="H543"/>
  <c r="K542"/>
  <c r="H540"/>
  <c r="H539"/>
  <c r="A539"/>
  <c r="A540" s="1"/>
  <c r="N538"/>
  <c r="M538"/>
  <c r="H538"/>
  <c r="AI44" i="11"/>
  <c r="AI49"/>
  <c r="K480" i="8"/>
  <c r="AK54" i="11"/>
  <c r="AK56" s="1"/>
  <c r="AL40"/>
  <c r="AL41"/>
  <c r="AL42"/>
  <c r="AL43"/>
  <c r="AL45"/>
  <c r="AL50"/>
  <c r="AL39"/>
  <c r="J301" i="8"/>
  <c r="J299"/>
  <c r="J298"/>
  <c r="I541" l="1"/>
  <c r="I555"/>
  <c r="I551"/>
  <c r="H544"/>
  <c r="AI54" i="11"/>
  <c r="AI56" s="1"/>
  <c r="AL54"/>
  <c r="H513" i="8"/>
  <c r="I514" s="1"/>
  <c r="K512"/>
  <c r="K510"/>
  <c r="H510"/>
  <c r="K509"/>
  <c r="H509"/>
  <c r="H508"/>
  <c r="H507"/>
  <c r="K506"/>
  <c r="H506"/>
  <c r="H505"/>
  <c r="H504"/>
  <c r="A504"/>
  <c r="A505" s="1"/>
  <c r="A506" s="1"/>
  <c r="A507" s="1"/>
  <c r="A508" s="1"/>
  <c r="A509" s="1"/>
  <c r="A510" s="1"/>
  <c r="M503"/>
  <c r="H503"/>
  <c r="A479"/>
  <c r="K477"/>
  <c r="K475"/>
  <c r="H475"/>
  <c r="K474"/>
  <c r="K473"/>
  <c r="K472"/>
  <c r="H474"/>
  <c r="K471"/>
  <c r="H471"/>
  <c r="H470"/>
  <c r="H468"/>
  <c r="K468" s="1"/>
  <c r="H467"/>
  <c r="H469"/>
  <c r="A466"/>
  <c r="A467" s="1"/>
  <c r="A468" s="1"/>
  <c r="A469" s="1"/>
  <c r="A470" s="1"/>
  <c r="A471" s="1"/>
  <c r="A472" s="1"/>
  <c r="A473" s="1"/>
  <c r="A474" s="1"/>
  <c r="A475" s="1"/>
  <c r="M465"/>
  <c r="H465"/>
  <c r="I545" l="1"/>
  <c r="I511"/>
  <c r="I515" s="1"/>
  <c r="I518" s="1"/>
  <c r="I519" s="1"/>
  <c r="H472"/>
  <c r="H473"/>
  <c r="H466"/>
  <c r="I556" l="1"/>
  <c r="I557" s="1"/>
  <c r="I476"/>
  <c r="H436"/>
  <c r="AB54" i="11"/>
  <c r="AH40"/>
  <c r="AH41"/>
  <c r="AH42"/>
  <c r="AH43"/>
  <c r="AH45"/>
  <c r="AH50"/>
  <c r="AH39"/>
  <c r="H433" i="8"/>
  <c r="AC54" i="11"/>
  <c r="Z54"/>
  <c r="H430" i="8" s="1"/>
  <c r="Y54" i="11"/>
  <c r="A440" i="8"/>
  <c r="K438"/>
  <c r="K436"/>
  <c r="K435"/>
  <c r="K434"/>
  <c r="K433"/>
  <c r="K431"/>
  <c r="A429"/>
  <c r="A430" s="1"/>
  <c r="A431" s="1"/>
  <c r="A432" s="1"/>
  <c r="A433" s="1"/>
  <c r="A434" s="1"/>
  <c r="A435" s="1"/>
  <c r="A436" s="1"/>
  <c r="M428"/>
  <c r="S45" i="11"/>
  <c r="Q45"/>
  <c r="P45"/>
  <c r="O45"/>
  <c r="H404" i="8"/>
  <c r="A404"/>
  <c r="H403"/>
  <c r="K402"/>
  <c r="K400"/>
  <c r="H400"/>
  <c r="K399"/>
  <c r="H399"/>
  <c r="K398"/>
  <c r="D398"/>
  <c r="H398" s="1"/>
  <c r="K397"/>
  <c r="D397"/>
  <c r="H397" s="1"/>
  <c r="K396"/>
  <c r="H396"/>
  <c r="K395"/>
  <c r="D395"/>
  <c r="H395" s="1"/>
  <c r="D394"/>
  <c r="H394" s="1"/>
  <c r="H393"/>
  <c r="K392"/>
  <c r="H392"/>
  <c r="D391"/>
  <c r="H391" s="1"/>
  <c r="A391"/>
  <c r="A392" s="1"/>
  <c r="A393" s="1"/>
  <c r="A394" s="1"/>
  <c r="A395" s="1"/>
  <c r="A396" s="1"/>
  <c r="A397" s="1"/>
  <c r="A398" s="1"/>
  <c r="A399" s="1"/>
  <c r="M390"/>
  <c r="D390"/>
  <c r="H390" s="1"/>
  <c r="G364"/>
  <c r="H364" s="1"/>
  <c r="H367"/>
  <c r="I368" s="1"/>
  <c r="K335"/>
  <c r="H335"/>
  <c r="H339"/>
  <c r="A339"/>
  <c r="H338"/>
  <c r="K337"/>
  <c r="K334"/>
  <c r="H333"/>
  <c r="D332"/>
  <c r="H334" s="1"/>
  <c r="A332"/>
  <c r="A333" s="1"/>
  <c r="A334" s="1"/>
  <c r="A335" s="1"/>
  <c r="N331"/>
  <c r="M331"/>
  <c r="H331"/>
  <c r="I405" l="1"/>
  <c r="AH54" i="11"/>
  <c r="D432" i="8"/>
  <c r="H432" s="1"/>
  <c r="D434"/>
  <c r="H434" s="1"/>
  <c r="H435"/>
  <c r="H429"/>
  <c r="AA54" i="11"/>
  <c r="R45"/>
  <c r="U45" s="1"/>
  <c r="I401" i="8"/>
  <c r="I406" s="1"/>
  <c r="I409" s="1"/>
  <c r="I410" s="1"/>
  <c r="I340"/>
  <c r="I365"/>
  <c r="H332"/>
  <c r="I336" s="1"/>
  <c r="H440" l="1"/>
  <c r="I369"/>
  <c r="I371" s="1"/>
  <c r="I372" s="1"/>
  <c r="K368" s="1"/>
  <c r="K366"/>
  <c r="H439"/>
  <c r="I441" s="1"/>
  <c r="V45" i="11"/>
  <c r="AD45"/>
  <c r="AE45"/>
  <c r="I341" i="8"/>
  <c r="I343" s="1"/>
  <c r="I344" s="1"/>
  <c r="S53" i="11"/>
  <c r="Q53"/>
  <c r="P53"/>
  <c r="O53"/>
  <c r="S52"/>
  <c r="Q52"/>
  <c r="P52"/>
  <c r="O52"/>
  <c r="S50"/>
  <c r="P50"/>
  <c r="Q50"/>
  <c r="O50"/>
  <c r="S43"/>
  <c r="Q43"/>
  <c r="P43"/>
  <c r="O43"/>
  <c r="S42"/>
  <c r="Q42"/>
  <c r="P42"/>
  <c r="O42"/>
  <c r="S41"/>
  <c r="S40"/>
  <c r="S39"/>
  <c r="D40"/>
  <c r="D41" s="1"/>
  <c r="D42" s="1"/>
  <c r="D43" s="1"/>
  <c r="D52" s="1"/>
  <c r="D53" s="1"/>
  <c r="Q41"/>
  <c r="P41"/>
  <c r="O41"/>
  <c r="Q40"/>
  <c r="P40"/>
  <c r="O40"/>
  <c r="Q39"/>
  <c r="P39"/>
  <c r="O39"/>
  <c r="D257" i="8"/>
  <c r="H257" s="1"/>
  <c r="G300"/>
  <c r="H300" s="1"/>
  <c r="K300" s="1"/>
  <c r="G299"/>
  <c r="G298"/>
  <c r="H298" s="1"/>
  <c r="K298" s="1"/>
  <c r="D299"/>
  <c r="D301" s="1"/>
  <c r="H301" s="1"/>
  <c r="K301" s="1"/>
  <c r="H306"/>
  <c r="A306"/>
  <c r="H305"/>
  <c r="H302"/>
  <c r="K302" s="1"/>
  <c r="A299"/>
  <c r="A300" s="1"/>
  <c r="A301" s="1"/>
  <c r="A302" s="1"/>
  <c r="N298"/>
  <c r="M298"/>
  <c r="H272"/>
  <c r="A272"/>
  <c r="A273" s="1"/>
  <c r="A274" s="1"/>
  <c r="A275" s="1"/>
  <c r="H271"/>
  <c r="H275"/>
  <c r="H274"/>
  <c r="H273"/>
  <c r="K270"/>
  <c r="H268"/>
  <c r="H267"/>
  <c r="A267"/>
  <c r="A268" s="1"/>
  <c r="N266"/>
  <c r="M266"/>
  <c r="H266"/>
  <c r="H262"/>
  <c r="H260"/>
  <c r="H256"/>
  <c r="H253"/>
  <c r="A257"/>
  <c r="A258" s="1"/>
  <c r="A259" s="1"/>
  <c r="A260" s="1"/>
  <c r="A261" s="1"/>
  <c r="A262" s="1"/>
  <c r="N252"/>
  <c r="M252"/>
  <c r="H252"/>
  <c r="H251"/>
  <c r="A251"/>
  <c r="A252" s="1"/>
  <c r="A253" s="1"/>
  <c r="N250"/>
  <c r="M250"/>
  <c r="H250"/>
  <c r="H261"/>
  <c r="K255"/>
  <c r="N218"/>
  <c r="H224"/>
  <c r="A224"/>
  <c r="H223"/>
  <c r="K222"/>
  <c r="K220"/>
  <c r="H220"/>
  <c r="H219"/>
  <c r="A219"/>
  <c r="A220" s="1"/>
  <c r="M218"/>
  <c r="D218"/>
  <c r="H218" s="1"/>
  <c r="H197"/>
  <c r="A197"/>
  <c r="M196"/>
  <c r="H196"/>
  <c r="M158"/>
  <c r="H161"/>
  <c r="H168"/>
  <c r="K166"/>
  <c r="D166"/>
  <c r="H166" s="1"/>
  <c r="D165"/>
  <c r="H165" s="1"/>
  <c r="D163"/>
  <c r="H163" s="1"/>
  <c r="D162"/>
  <c r="H162" s="1"/>
  <c r="D159"/>
  <c r="H159" s="1"/>
  <c r="D158"/>
  <c r="A159"/>
  <c r="A160" s="1"/>
  <c r="A161" s="1"/>
  <c r="A162" s="1"/>
  <c r="A163" s="1"/>
  <c r="A164" s="1"/>
  <c r="A165" s="1"/>
  <c r="A166" s="1"/>
  <c r="A167" s="1"/>
  <c r="K165"/>
  <c r="K164"/>
  <c r="H164"/>
  <c r="H172"/>
  <c r="H160"/>
  <c r="H167"/>
  <c r="H158"/>
  <c r="K160"/>
  <c r="H171"/>
  <c r="A172"/>
  <c r="K170"/>
  <c r="K168"/>
  <c r="K167"/>
  <c r="K163"/>
  <c r="E923" i="4"/>
  <c r="E920"/>
  <c r="E917"/>
  <c r="E914"/>
  <c r="G860" i="7"/>
  <c r="G91" i="8"/>
  <c r="H91" s="1"/>
  <c r="G90"/>
  <c r="H90" s="1"/>
  <c r="G55"/>
  <c r="H55" s="1"/>
  <c r="G54"/>
  <c r="H54" s="1"/>
  <c r="G868" i="4"/>
  <c r="H868" s="1"/>
  <c r="G19" i="8"/>
  <c r="H19" s="1"/>
  <c r="G18"/>
  <c r="H18" s="1"/>
  <c r="G890" i="4"/>
  <c r="H890" s="1"/>
  <c r="H898"/>
  <c r="D895"/>
  <c r="H895" s="1"/>
  <c r="D873"/>
  <c r="H876"/>
  <c r="H50" i="8"/>
  <c r="H86"/>
  <c r="I96"/>
  <c r="H122"/>
  <c r="G121"/>
  <c r="H121" s="1"/>
  <c r="H899" i="4"/>
  <c r="D897"/>
  <c r="H897" s="1"/>
  <c r="H891"/>
  <c r="I132" i="8"/>
  <c r="H128"/>
  <c r="H127"/>
  <c r="H126"/>
  <c r="I60"/>
  <c r="G13"/>
  <c r="H13" s="1"/>
  <c r="L877" i="4"/>
  <c r="I24" i="8"/>
  <c r="D847" i="4"/>
  <c r="D850"/>
  <c r="D848"/>
  <c r="D849" s="1"/>
  <c r="H852"/>
  <c r="K852"/>
  <c r="K847"/>
  <c r="H843"/>
  <c r="G663" i="7"/>
  <c r="G665"/>
  <c r="L867" i="4"/>
  <c r="H873"/>
  <c r="G664" i="7"/>
  <c r="G662"/>
  <c r="G661"/>
  <c r="L571"/>
  <c r="G580"/>
  <c r="G19"/>
  <c r="G14"/>
  <c r="F10"/>
  <c r="G10" s="1"/>
  <c r="H60"/>
  <c r="G56"/>
  <c r="G55"/>
  <c r="G54"/>
  <c r="H877" i="4"/>
  <c r="D875"/>
  <c r="H875" s="1"/>
  <c r="H869"/>
  <c r="G1206" i="7"/>
  <c r="G96"/>
  <c r="G95"/>
  <c r="G94"/>
  <c r="F89"/>
  <c r="G89" s="1"/>
  <c r="H851" i="4"/>
  <c r="H842"/>
  <c r="H841"/>
  <c r="H100" i="7"/>
  <c r="H130"/>
  <c r="G126"/>
  <c r="H127" s="1"/>
  <c r="H128" s="1"/>
  <c r="H131" s="1"/>
  <c r="H132" s="1"/>
  <c r="G159"/>
  <c r="G158"/>
  <c r="G157"/>
  <c r="G156"/>
  <c r="H166"/>
  <c r="G162"/>
  <c r="H163" s="1"/>
  <c r="G196"/>
  <c r="G195"/>
  <c r="H200"/>
  <c r="H193"/>
  <c r="G239"/>
  <c r="G238"/>
  <c r="G237"/>
  <c r="G235"/>
  <c r="C234"/>
  <c r="G234" s="1"/>
  <c r="G233"/>
  <c r="G230"/>
  <c r="G229"/>
  <c r="G228"/>
  <c r="G227"/>
  <c r="G225"/>
  <c r="G279"/>
  <c r="G278"/>
  <c r="G277"/>
  <c r="G273"/>
  <c r="G274"/>
  <c r="H823" i="4"/>
  <c r="D822"/>
  <c r="H822" s="1"/>
  <c r="D821"/>
  <c r="H821" s="1"/>
  <c r="D820"/>
  <c r="H820" s="1"/>
  <c r="D819"/>
  <c r="H819" s="1"/>
  <c r="H815"/>
  <c r="H814"/>
  <c r="H813"/>
  <c r="G316" i="7"/>
  <c r="G315"/>
  <c r="G314"/>
  <c r="G309"/>
  <c r="H312" s="1"/>
  <c r="G435"/>
  <c r="G401"/>
  <c r="G400"/>
  <c r="L537"/>
  <c r="L536"/>
  <c r="L544"/>
  <c r="G568"/>
  <c r="K537"/>
  <c r="K535"/>
  <c r="K536"/>
  <c r="L535"/>
  <c r="L534"/>
  <c r="G361"/>
  <c r="G356"/>
  <c r="G352"/>
  <c r="G349"/>
  <c r="H350" s="1"/>
  <c r="H405"/>
  <c r="H398"/>
  <c r="G434"/>
  <c r="G433"/>
  <c r="G432"/>
  <c r="G471"/>
  <c r="H473" s="1"/>
  <c r="G468"/>
  <c r="G467"/>
  <c r="G466"/>
  <c r="G465"/>
  <c r="G464"/>
  <c r="G463"/>
  <c r="G462"/>
  <c r="O445"/>
  <c r="G515"/>
  <c r="H516" s="1"/>
  <c r="G510"/>
  <c r="G511"/>
  <c r="G509"/>
  <c r="G519"/>
  <c r="G518"/>
  <c r="G578"/>
  <c r="G576"/>
  <c r="G575"/>
  <c r="G574"/>
  <c r="G573"/>
  <c r="G570"/>
  <c r="G569"/>
  <c r="G567"/>
  <c r="G564"/>
  <c r="G563"/>
  <c r="G562"/>
  <c r="G561"/>
  <c r="G560"/>
  <c r="G559"/>
  <c r="G554"/>
  <c r="H555" s="1"/>
  <c r="G615"/>
  <c r="G618" s="1"/>
  <c r="G619" s="1"/>
  <c r="G611"/>
  <c r="G609"/>
  <c r="G657"/>
  <c r="G656"/>
  <c r="G655"/>
  <c r="G654"/>
  <c r="G653"/>
  <c r="G660"/>
  <c r="C705"/>
  <c r="G705" s="1"/>
  <c r="G710"/>
  <c r="G709"/>
  <c r="G708"/>
  <c r="G706"/>
  <c r="G704"/>
  <c r="G701"/>
  <c r="G700"/>
  <c r="G699"/>
  <c r="G698"/>
  <c r="G696"/>
  <c r="G777"/>
  <c r="G776"/>
  <c r="H774"/>
  <c r="G1031"/>
  <c r="G1030"/>
  <c r="G818"/>
  <c r="G820" s="1"/>
  <c r="H822" s="1"/>
  <c r="G814"/>
  <c r="G813"/>
  <c r="G812"/>
  <c r="G858"/>
  <c r="G856"/>
  <c r="H854"/>
  <c r="G913"/>
  <c r="G912"/>
  <c r="G911"/>
  <c r="G910"/>
  <c r="G909"/>
  <c r="G908"/>
  <c r="G907"/>
  <c r="G906"/>
  <c r="G904"/>
  <c r="G903"/>
  <c r="G901"/>
  <c r="G900"/>
  <c r="G898"/>
  <c r="A898"/>
  <c r="A900" s="1"/>
  <c r="A901" s="1"/>
  <c r="A903" s="1"/>
  <c r="A904" s="1"/>
  <c r="A906" s="1"/>
  <c r="A908" s="1"/>
  <c r="A910" s="1"/>
  <c r="A911" s="1"/>
  <c r="A912" s="1"/>
  <c r="A913" s="1"/>
  <c r="G897"/>
  <c r="G948"/>
  <c r="G947"/>
  <c r="G946"/>
  <c r="G951"/>
  <c r="G953" s="1"/>
  <c r="H955" s="1"/>
  <c r="G993"/>
  <c r="G992"/>
  <c r="H990"/>
  <c r="G1162"/>
  <c r="H1028"/>
  <c r="M1205"/>
  <c r="P1205"/>
  <c r="O1205"/>
  <c r="N1205"/>
  <c r="M1190"/>
  <c r="F1074"/>
  <c r="G1074" s="1"/>
  <c r="G1077" s="1"/>
  <c r="H1079" s="1"/>
  <c r="G1069"/>
  <c r="G1070"/>
  <c r="G1071"/>
  <c r="G1068"/>
  <c r="G1067"/>
  <c r="G1066"/>
  <c r="G1065"/>
  <c r="F1106"/>
  <c r="G1106" s="1"/>
  <c r="G1115"/>
  <c r="G1110"/>
  <c r="G1103"/>
  <c r="H1104" s="1"/>
  <c r="F1348"/>
  <c r="G1348" s="1"/>
  <c r="F1347"/>
  <c r="G1347" s="1"/>
  <c r="F1345"/>
  <c r="G1345" s="1"/>
  <c r="F1160"/>
  <c r="G1160" s="1"/>
  <c r="G1161"/>
  <c r="L1040"/>
  <c r="C1158"/>
  <c r="G1158" s="1"/>
  <c r="C1157"/>
  <c r="G1157" s="1"/>
  <c r="F1156"/>
  <c r="C1156"/>
  <c r="G1159"/>
  <c r="G1155"/>
  <c r="G1152"/>
  <c r="G1151"/>
  <c r="G1150"/>
  <c r="G1149"/>
  <c r="G1205"/>
  <c r="G1204"/>
  <c r="G1203"/>
  <c r="G1201"/>
  <c r="G1211"/>
  <c r="G1210"/>
  <c r="G1209"/>
  <c r="G1427"/>
  <c r="G1428"/>
  <c r="G1426"/>
  <c r="G1425"/>
  <c r="G1424"/>
  <c r="E35" i="4"/>
  <c r="E36" s="1"/>
  <c r="E19"/>
  <c r="E20" s="1"/>
  <c r="G1272" i="7"/>
  <c r="K1173"/>
  <c r="K1172"/>
  <c r="K1171"/>
  <c r="G1289"/>
  <c r="G1287"/>
  <c r="G1286"/>
  <c r="G1285"/>
  <c r="G1284"/>
  <c r="G1281"/>
  <c r="G1280"/>
  <c r="G1279"/>
  <c r="G1278"/>
  <c r="G1277"/>
  <c r="G1276"/>
  <c r="G1268"/>
  <c r="G1267"/>
  <c r="G1346"/>
  <c r="G1341"/>
  <c r="G1340"/>
  <c r="L1269"/>
  <c r="L1270"/>
  <c r="G1386"/>
  <c r="G1388" s="1"/>
  <c r="H1390" s="1"/>
  <c r="G1381"/>
  <c r="G1380"/>
  <c r="G1379"/>
  <c r="G1430"/>
  <c r="G1429"/>
  <c r="H1422"/>
  <c r="G1461"/>
  <c r="G1463"/>
  <c r="G1498"/>
  <c r="G1497"/>
  <c r="G1491"/>
  <c r="G1494"/>
  <c r="G1493"/>
  <c r="G1531"/>
  <c r="G1528"/>
  <c r="G1527"/>
  <c r="G1574"/>
  <c r="G1617"/>
  <c r="G1616"/>
  <c r="G1615"/>
  <c r="G1614"/>
  <c r="G1613"/>
  <c r="G1612"/>
  <c r="G1611"/>
  <c r="G1610"/>
  <c r="G1608"/>
  <c r="G1607"/>
  <c r="G1605"/>
  <c r="G1604"/>
  <c r="G1602"/>
  <c r="A1602"/>
  <c r="A1604" s="1"/>
  <c r="A1605" s="1"/>
  <c r="A1607" s="1"/>
  <c r="A1608" s="1"/>
  <c r="A1610" s="1"/>
  <c r="A1612" s="1"/>
  <c r="A1614" s="1"/>
  <c r="A1615" s="1"/>
  <c r="A1616" s="1"/>
  <c r="A1617" s="1"/>
  <c r="G1601"/>
  <c r="G1575"/>
  <c r="G1573"/>
  <c r="G1572"/>
  <c r="G1571"/>
  <c r="G1658"/>
  <c r="G1657"/>
  <c r="G1656"/>
  <c r="G1655"/>
  <c r="H1653"/>
  <c r="G1692"/>
  <c r="H1693" s="1"/>
  <c r="H1699" s="1"/>
  <c r="H1700" s="1"/>
  <c r="G2391"/>
  <c r="G2389"/>
  <c r="G2388"/>
  <c r="G2387"/>
  <c r="G2386"/>
  <c r="G2383"/>
  <c r="G2382"/>
  <c r="G2381"/>
  <c r="G2380"/>
  <c r="G2379"/>
  <c r="G2378"/>
  <c r="G2374"/>
  <c r="G2373"/>
  <c r="G2339"/>
  <c r="G2337"/>
  <c r="G2336"/>
  <c r="G2335"/>
  <c r="G2334"/>
  <c r="G2331"/>
  <c r="G2330"/>
  <c r="G2329"/>
  <c r="G2328"/>
  <c r="G2327"/>
  <c r="G2326"/>
  <c r="G2322"/>
  <c r="G2321"/>
  <c r="G2283"/>
  <c r="G2282"/>
  <c r="G2281"/>
  <c r="G2280"/>
  <c r="G2279"/>
  <c r="G2278"/>
  <c r="G2277"/>
  <c r="G2276"/>
  <c r="G2272"/>
  <c r="G2271"/>
  <c r="G2270"/>
  <c r="G2269"/>
  <c r="G2268"/>
  <c r="G2266"/>
  <c r="G2264"/>
  <c r="G2235"/>
  <c r="G2234"/>
  <c r="G2233"/>
  <c r="G2232"/>
  <c r="H2230"/>
  <c r="G2200"/>
  <c r="G2198"/>
  <c r="G2197"/>
  <c r="G2196"/>
  <c r="G2195"/>
  <c r="G2192"/>
  <c r="G2191"/>
  <c r="G2190"/>
  <c r="G2189"/>
  <c r="G2188"/>
  <c r="G2187"/>
  <c r="G2183"/>
  <c r="G2182"/>
  <c r="G2146"/>
  <c r="G2145"/>
  <c r="G2144"/>
  <c r="G2143"/>
  <c r="G2140"/>
  <c r="G2135"/>
  <c r="G2101"/>
  <c r="G2107" s="1"/>
  <c r="H2109" s="1"/>
  <c r="H2111" s="1"/>
  <c r="H2112" s="1"/>
  <c r="G2072"/>
  <c r="G2071"/>
  <c r="G2068"/>
  <c r="G2067"/>
  <c r="G2066"/>
  <c r="G2065"/>
  <c r="G2064"/>
  <c r="G2063"/>
  <c r="G2029"/>
  <c r="G2031" s="1"/>
  <c r="G2023"/>
  <c r="G2022"/>
  <c r="G2021"/>
  <c r="G2020"/>
  <c r="G2019"/>
  <c r="G1986"/>
  <c r="G1985"/>
  <c r="G1984"/>
  <c r="G1982"/>
  <c r="C1981"/>
  <c r="G1981" s="1"/>
  <c r="G1980"/>
  <c r="G1977"/>
  <c r="G1976"/>
  <c r="G1975"/>
  <c r="G1974"/>
  <c r="G1972"/>
  <c r="G1940"/>
  <c r="G1938"/>
  <c r="G1937"/>
  <c r="G1936"/>
  <c r="G1935"/>
  <c r="G1932"/>
  <c r="G1931"/>
  <c r="G1930"/>
  <c r="G1929"/>
  <c r="G1928"/>
  <c r="G1927"/>
  <c r="G1923"/>
  <c r="G1922"/>
  <c r="G1882"/>
  <c r="G1881"/>
  <c r="G1880"/>
  <c r="G1879"/>
  <c r="G1876"/>
  <c r="G1875"/>
  <c r="G1874"/>
  <c r="G1873"/>
  <c r="G1840"/>
  <c r="G1839"/>
  <c r="G1838"/>
  <c r="G1837"/>
  <c r="G1836"/>
  <c r="G1835"/>
  <c r="G1832"/>
  <c r="G1831"/>
  <c r="G1830"/>
  <c r="G1829"/>
  <c r="G1828"/>
  <c r="G1795"/>
  <c r="G1802" s="1"/>
  <c r="H1804" s="1"/>
  <c r="H1806" s="1"/>
  <c r="H1807" s="1"/>
  <c r="G1732"/>
  <c r="G1735" s="1"/>
  <c r="G1736" s="1"/>
  <c r="H1737" s="1"/>
  <c r="G1728"/>
  <c r="G1726"/>
  <c r="G354" i="6"/>
  <c r="G359"/>
  <c r="G358"/>
  <c r="G357"/>
  <c r="G356"/>
  <c r="G355"/>
  <c r="Q19"/>
  <c r="R20" s="1"/>
  <c r="Q10"/>
  <c r="Q16"/>
  <c r="Q15"/>
  <c r="Q14"/>
  <c r="Q13"/>
  <c r="Q12"/>
  <c r="Q11"/>
  <c r="G13"/>
  <c r="G16"/>
  <c r="G15"/>
  <c r="G24"/>
  <c r="G23"/>
  <c r="G22"/>
  <c r="G21"/>
  <c r="G20"/>
  <c r="G19"/>
  <c r="G14"/>
  <c r="G12"/>
  <c r="G11"/>
  <c r="G10"/>
  <c r="G277"/>
  <c r="G275"/>
  <c r="C272"/>
  <c r="G272" s="1"/>
  <c r="G86"/>
  <c r="G93" s="1"/>
  <c r="H95" s="1"/>
  <c r="H97" s="1"/>
  <c r="H98" s="1"/>
  <c r="G131"/>
  <c r="G123"/>
  <c r="G122"/>
  <c r="G121"/>
  <c r="G120"/>
  <c r="G119"/>
  <c r="G130"/>
  <c r="G129"/>
  <c r="G128"/>
  <c r="G127"/>
  <c r="G126"/>
  <c r="G173"/>
  <c r="G172"/>
  <c r="G171"/>
  <c r="G170"/>
  <c r="G167"/>
  <c r="G166"/>
  <c r="G165"/>
  <c r="G164"/>
  <c r="G311"/>
  <c r="L284"/>
  <c r="K284"/>
  <c r="K285" s="1"/>
  <c r="L532"/>
  <c r="K192"/>
  <c r="K191"/>
  <c r="G231"/>
  <c r="G229"/>
  <c r="G228"/>
  <c r="G227"/>
  <c r="G226"/>
  <c r="G223"/>
  <c r="G222"/>
  <c r="G221"/>
  <c r="G220"/>
  <c r="G219"/>
  <c r="G218"/>
  <c r="G214"/>
  <c r="G213"/>
  <c r="G276"/>
  <c r="G268"/>
  <c r="G267"/>
  <c r="G273"/>
  <c r="G271"/>
  <c r="G266"/>
  <c r="G265"/>
  <c r="G263"/>
  <c r="G320"/>
  <c r="G322" s="1"/>
  <c r="G323" s="1"/>
  <c r="H324" s="1"/>
  <c r="G314"/>
  <c r="G312"/>
  <c r="G310"/>
  <c r="G313"/>
  <c r="G363"/>
  <c r="G362"/>
  <c r="G392"/>
  <c r="G398" s="1"/>
  <c r="H400" s="1"/>
  <c r="H402" s="1"/>
  <c r="H403" s="1"/>
  <c r="G434"/>
  <c r="G426"/>
  <c r="G431"/>
  <c r="G437"/>
  <c r="G436"/>
  <c r="G435"/>
  <c r="G489"/>
  <c r="G488"/>
  <c r="G487"/>
  <c r="G486"/>
  <c r="G491"/>
  <c r="G483"/>
  <c r="G482"/>
  <c r="G481"/>
  <c r="G480"/>
  <c r="G479"/>
  <c r="G478"/>
  <c r="G474"/>
  <c r="G473"/>
  <c r="K510"/>
  <c r="G626"/>
  <c r="G526"/>
  <c r="G525"/>
  <c r="G524"/>
  <c r="G523"/>
  <c r="H521"/>
  <c r="G567"/>
  <c r="G562"/>
  <c r="G561"/>
  <c r="G560"/>
  <c r="G559"/>
  <c r="G557"/>
  <c r="G555"/>
  <c r="G574"/>
  <c r="G573"/>
  <c r="G572"/>
  <c r="G571"/>
  <c r="G570"/>
  <c r="G569"/>
  <c r="G568"/>
  <c r="G563"/>
  <c r="G64" i="1"/>
  <c r="G63"/>
  <c r="G630" i="6"/>
  <c r="G628"/>
  <c r="G627"/>
  <c r="G625"/>
  <c r="G622"/>
  <c r="G621"/>
  <c r="G620"/>
  <c r="G619"/>
  <c r="G618"/>
  <c r="G617"/>
  <c r="G613"/>
  <c r="G612"/>
  <c r="G682"/>
  <c r="G680"/>
  <c r="G679"/>
  <c r="G678"/>
  <c r="G677"/>
  <c r="G674"/>
  <c r="G673"/>
  <c r="G672"/>
  <c r="G671"/>
  <c r="G670"/>
  <c r="G664"/>
  <c r="G665"/>
  <c r="G669"/>
  <c r="G592" i="1"/>
  <c r="G591"/>
  <c r="G594"/>
  <c r="L587"/>
  <c r="G21"/>
  <c r="G20"/>
  <c r="G14"/>
  <c r="G12"/>
  <c r="G10"/>
  <c r="G66"/>
  <c r="G65"/>
  <c r="G62"/>
  <c r="G57"/>
  <c r="G56"/>
  <c r="G55"/>
  <c r="G53"/>
  <c r="G51"/>
  <c r="G61"/>
  <c r="G106"/>
  <c r="G107"/>
  <c r="G105"/>
  <c r="G104"/>
  <c r="H101"/>
  <c r="G150"/>
  <c r="G149"/>
  <c r="G148"/>
  <c r="G146"/>
  <c r="G145"/>
  <c r="H142"/>
  <c r="M8" i="5"/>
  <c r="M9"/>
  <c r="M10"/>
  <c r="M12"/>
  <c r="M14"/>
  <c r="M15"/>
  <c r="M17"/>
  <c r="M19"/>
  <c r="I45" i="4"/>
  <c r="I46"/>
  <c r="I47"/>
  <c r="I48"/>
  <c r="I49"/>
  <c r="I50"/>
  <c r="I51"/>
  <c r="I52"/>
  <c r="I53"/>
  <c r="I54"/>
  <c r="I55"/>
  <c r="I56"/>
  <c r="I57"/>
  <c r="K101"/>
  <c r="K120"/>
  <c r="E272"/>
  <c r="E309"/>
  <c r="J294"/>
  <c r="J297"/>
  <c r="E338"/>
  <c r="E339" s="1"/>
  <c r="E354"/>
  <c r="E355" s="1"/>
  <c r="E377"/>
  <c r="E378" s="1"/>
  <c r="E393"/>
  <c r="E394" s="1"/>
  <c r="E431"/>
  <c r="H184" i="1"/>
  <c r="G187"/>
  <c r="G188"/>
  <c r="G192"/>
  <c r="G193"/>
  <c r="G196"/>
  <c r="G197"/>
  <c r="G198"/>
  <c r="G200"/>
  <c r="G201"/>
  <c r="G230"/>
  <c r="G231"/>
  <c r="G232"/>
  <c r="G233"/>
  <c r="G234"/>
  <c r="G238"/>
  <c r="G239"/>
  <c r="G240"/>
  <c r="G241"/>
  <c r="G270"/>
  <c r="H273" s="1"/>
  <c r="G275"/>
  <c r="G276"/>
  <c r="G305"/>
  <c r="G306"/>
  <c r="G307"/>
  <c r="G308"/>
  <c r="G309"/>
  <c r="G310"/>
  <c r="G313"/>
  <c r="G314"/>
  <c r="G315"/>
  <c r="G316"/>
  <c r="G317"/>
  <c r="G318"/>
  <c r="G319"/>
  <c r="G347"/>
  <c r="G348"/>
  <c r="G349"/>
  <c r="G350"/>
  <c r="G351"/>
  <c r="G352"/>
  <c r="G355"/>
  <c r="G361" s="1"/>
  <c r="H363" s="1"/>
  <c r="G388"/>
  <c r="G389"/>
  <c r="G390"/>
  <c r="G391"/>
  <c r="G392"/>
  <c r="G393"/>
  <c r="G394"/>
  <c r="G395"/>
  <c r="G396"/>
  <c r="G397"/>
  <c r="G400"/>
  <c r="G403" s="1"/>
  <c r="H405" s="1"/>
  <c r="G431"/>
  <c r="G432"/>
  <c r="G433"/>
  <c r="G434"/>
  <c r="G435"/>
  <c r="G436"/>
  <c r="G437"/>
  <c r="G438"/>
  <c r="G441"/>
  <c r="G442"/>
  <c r="G443"/>
  <c r="G444"/>
  <c r="G445"/>
  <c r="G446"/>
  <c r="G447"/>
  <c r="G476"/>
  <c r="G477"/>
  <c r="G478"/>
  <c r="G479"/>
  <c r="G480"/>
  <c r="G481"/>
  <c r="G484"/>
  <c r="G485"/>
  <c r="G486"/>
  <c r="G487"/>
  <c r="G525"/>
  <c r="G527"/>
  <c r="G529"/>
  <c r="G530"/>
  <c r="G531"/>
  <c r="G532"/>
  <c r="G572"/>
  <c r="G573"/>
  <c r="G577"/>
  <c r="G578"/>
  <c r="G579"/>
  <c r="G580"/>
  <c r="G581"/>
  <c r="G582"/>
  <c r="G585"/>
  <c r="G586"/>
  <c r="G587"/>
  <c r="G588"/>
  <c r="G593"/>
  <c r="G596"/>
  <c r="G628"/>
  <c r="G632"/>
  <c r="G633"/>
  <c r="G634"/>
  <c r="G635"/>
  <c r="G636"/>
  <c r="G637"/>
  <c r="G638"/>
  <c r="G641"/>
  <c r="G644"/>
  <c r="G645"/>
  <c r="G646"/>
  <c r="G647"/>
  <c r="G648"/>
  <c r="G649"/>
  <c r="G650"/>
  <c r="G651"/>
  <c r="G652"/>
  <c r="G653"/>
  <c r="G654"/>
  <c r="G655"/>
  <c r="G656"/>
  <c r="G657"/>
  <c r="G684"/>
  <c r="G685"/>
  <c r="G688"/>
  <c r="G689"/>
  <c r="G690"/>
  <c r="G729"/>
  <c r="G730"/>
  <c r="G731"/>
  <c r="G732"/>
  <c r="G733"/>
  <c r="G764"/>
  <c r="G765"/>
  <c r="G766"/>
  <c r="G769"/>
  <c r="G770"/>
  <c r="G771"/>
  <c r="G772"/>
  <c r="G803"/>
  <c r="H804" s="1"/>
  <c r="G806"/>
  <c r="G810"/>
  <c r="G815"/>
  <c r="G817"/>
  <c r="G819"/>
  <c r="G849"/>
  <c r="G858"/>
  <c r="G859"/>
  <c r="G860"/>
  <c r="G861"/>
  <c r="G862"/>
  <c r="G863"/>
  <c r="G867"/>
  <c r="G868"/>
  <c r="G870"/>
  <c r="G872"/>
  <c r="G873"/>
  <c r="G875"/>
  <c r="G877"/>
  <c r="G878"/>
  <c r="G879"/>
  <c r="G880"/>
  <c r="G911"/>
  <c r="G915"/>
  <c r="G916"/>
  <c r="G917"/>
  <c r="G918"/>
  <c r="G919"/>
  <c r="G920"/>
  <c r="G921"/>
  <c r="G922"/>
  <c r="G923"/>
  <c r="G926"/>
  <c r="G929"/>
  <c r="G930"/>
  <c r="G931"/>
  <c r="G932"/>
  <c r="G933"/>
  <c r="G934"/>
  <c r="G935"/>
  <c r="G969"/>
  <c r="G970"/>
  <c r="G974"/>
  <c r="G977"/>
  <c r="G980"/>
  <c r="G982"/>
  <c r="G983"/>
  <c r="G984"/>
  <c r="G1018"/>
  <c r="G1019"/>
  <c r="G1020"/>
  <c r="G1023"/>
  <c r="G1024"/>
  <c r="G1025"/>
  <c r="G1026"/>
  <c r="G1027"/>
  <c r="K988"/>
  <c r="G1064"/>
  <c r="H1065" s="1"/>
  <c r="G1067"/>
  <c r="G1068"/>
  <c r="G1069"/>
  <c r="G1070"/>
  <c r="G1071"/>
  <c r="G1074"/>
  <c r="G1075"/>
  <c r="G1076"/>
  <c r="G1110"/>
  <c r="G1111"/>
  <c r="G1114"/>
  <c r="G1115"/>
  <c r="G1118"/>
  <c r="G1119"/>
  <c r="G1120"/>
  <c r="G1121"/>
  <c r="G1122"/>
  <c r="G1154"/>
  <c r="G1158"/>
  <c r="G1162"/>
  <c r="G1194"/>
  <c r="G1196"/>
  <c r="G1197"/>
  <c r="G1199"/>
  <c r="G1200"/>
  <c r="J1176"/>
  <c r="G1231"/>
  <c r="G1233"/>
  <c r="G1235"/>
  <c r="J1192"/>
  <c r="G1239"/>
  <c r="G1241"/>
  <c r="G1242"/>
  <c r="G1245"/>
  <c r="G1246"/>
  <c r="G1247"/>
  <c r="G1250"/>
  <c r="G1251"/>
  <c r="G1252"/>
  <c r="G1253"/>
  <c r="G1280"/>
  <c r="G1281"/>
  <c r="G1282"/>
  <c r="G1283"/>
  <c r="G1310"/>
  <c r="G1312"/>
  <c r="G1316"/>
  <c r="G1317"/>
  <c r="G1318"/>
  <c r="G1321"/>
  <c r="G1322"/>
  <c r="G1323"/>
  <c r="G1324"/>
  <c r="G1350"/>
  <c r="G1352"/>
  <c r="G1354"/>
  <c r="G1355"/>
  <c r="G1357"/>
  <c r="G1359"/>
  <c r="G1388"/>
  <c r="H1388" s="1"/>
  <c r="G1390"/>
  <c r="H1390" s="1"/>
  <c r="G1392"/>
  <c r="G1393"/>
  <c r="G1395"/>
  <c r="G1396"/>
  <c r="G1398"/>
  <c r="G1399"/>
  <c r="G1400"/>
  <c r="G1401"/>
  <c r="G1402"/>
  <c r="G1403"/>
  <c r="G1404"/>
  <c r="G1406"/>
  <c r="G1407"/>
  <c r="G1409"/>
  <c r="G1410"/>
  <c r="G1411"/>
  <c r="G1413"/>
  <c r="G1414"/>
  <c r="G1415"/>
  <c r="H1415" s="1"/>
  <c r="G1417"/>
  <c r="G1418"/>
  <c r="G1420"/>
  <c r="G1421"/>
  <c r="G1422"/>
  <c r="G1423"/>
  <c r="G1424"/>
  <c r="H1424" s="1"/>
  <c r="G1425"/>
  <c r="H1425" s="1"/>
  <c r="G1427"/>
  <c r="G1428"/>
  <c r="G1429"/>
  <c r="G1430"/>
  <c r="H1430" s="1"/>
  <c r="G1431"/>
  <c r="H1431" s="1"/>
  <c r="G1432"/>
  <c r="H1432" s="1"/>
  <c r="G1460"/>
  <c r="G1461"/>
  <c r="G1462"/>
  <c r="G1463"/>
  <c r="G1464"/>
  <c r="G1465"/>
  <c r="G1466"/>
  <c r="G1467"/>
  <c r="G1470"/>
  <c r="G1471"/>
  <c r="G1472"/>
  <c r="G1473"/>
  <c r="G1474"/>
  <c r="G1475"/>
  <c r="G1476"/>
  <c r="G1477"/>
  <c r="G1478"/>
  <c r="G1483"/>
  <c r="G1485"/>
  <c r="G1487"/>
  <c r="G1488"/>
  <c r="G1493"/>
  <c r="G1494"/>
  <c r="G1495"/>
  <c r="G1496"/>
  <c r="G1497"/>
  <c r="G1498"/>
  <c r="G1501"/>
  <c r="G1502"/>
  <c r="G1503"/>
  <c r="G1504"/>
  <c r="G1505"/>
  <c r="G1506"/>
  <c r="G1507"/>
  <c r="G1509"/>
  <c r="G1510"/>
  <c r="G1513"/>
  <c r="G1515"/>
  <c r="G1517"/>
  <c r="G1521"/>
  <c r="G1524"/>
  <c r="G1526"/>
  <c r="G1557"/>
  <c r="G1558"/>
  <c r="G1559"/>
  <c r="G1561"/>
  <c r="G1563"/>
  <c r="G1567"/>
  <c r="G1569"/>
  <c r="G1574"/>
  <c r="H1574" s="1"/>
  <c r="G1609"/>
  <c r="G1613"/>
  <c r="G1617"/>
  <c r="G1648"/>
  <c r="G1650"/>
  <c r="G1652"/>
  <c r="G1654"/>
  <c r="G1657"/>
  <c r="G1660"/>
  <c r="G1661"/>
  <c r="G1688"/>
  <c r="G1689"/>
  <c r="G1692"/>
  <c r="G1694"/>
  <c r="G1696"/>
  <c r="G1697"/>
  <c r="G1702"/>
  <c r="G1704"/>
  <c r="G1706"/>
  <c r="G1708"/>
  <c r="G1737"/>
  <c r="G1738"/>
  <c r="G1739"/>
  <c r="G1740"/>
  <c r="G1741"/>
  <c r="G1746"/>
  <c r="G1747"/>
  <c r="G1748"/>
  <c r="G1749"/>
  <c r="G1752"/>
  <c r="G1753"/>
  <c r="G1782"/>
  <c r="G1786"/>
  <c r="G1788"/>
  <c r="G1820"/>
  <c r="G1824"/>
  <c r="G1828"/>
  <c r="G1831"/>
  <c r="G1833"/>
  <c r="G1837"/>
  <c r="G1870"/>
  <c r="G1871"/>
  <c r="G1876"/>
  <c r="G1877"/>
  <c r="G1878"/>
  <c r="G1911"/>
  <c r="G1912"/>
  <c r="G1913"/>
  <c r="G1916"/>
  <c r="G1917"/>
  <c r="G1918"/>
  <c r="G1924"/>
  <c r="G1925"/>
  <c r="G1926"/>
  <c r="G1927"/>
  <c r="G1928"/>
  <c r="G1932"/>
  <c r="G1933"/>
  <c r="G1934"/>
  <c r="G1935"/>
  <c r="G1964"/>
  <c r="A1965"/>
  <c r="A1966" s="1"/>
  <c r="A1967" s="1"/>
  <c r="G1965"/>
  <c r="G1966"/>
  <c r="G1967"/>
  <c r="F1971"/>
  <c r="G1971" s="1"/>
  <c r="A1972"/>
  <c r="A1973" s="1"/>
  <c r="A1974" s="1"/>
  <c r="A1975" s="1"/>
  <c r="A1976" s="1"/>
  <c r="A1977" s="1"/>
  <c r="A1978" s="1"/>
  <c r="A1979" s="1"/>
  <c r="G1972"/>
  <c r="F1973"/>
  <c r="G1973" s="1"/>
  <c r="G1974"/>
  <c r="G1975"/>
  <c r="G1976"/>
  <c r="G1977"/>
  <c r="G1978"/>
  <c r="G1979"/>
  <c r="G2003"/>
  <c r="A2004"/>
  <c r="A2005" s="1"/>
  <c r="A2006" s="1"/>
  <c r="A2007" s="1"/>
  <c r="A2008" s="1"/>
  <c r="G2004"/>
  <c r="G2005"/>
  <c r="G2006"/>
  <c r="G2007"/>
  <c r="G2008"/>
  <c r="C2011"/>
  <c r="G2011" s="1"/>
  <c r="A2012"/>
  <c r="A2013" s="1"/>
  <c r="A2014" s="1"/>
  <c r="G2012"/>
  <c r="C2013"/>
  <c r="G2013" s="1"/>
  <c r="G2014"/>
  <c r="C2017"/>
  <c r="G2017" s="1"/>
  <c r="A2018"/>
  <c r="A2019" s="1"/>
  <c r="A2020" s="1"/>
  <c r="G2018"/>
  <c r="C2019"/>
  <c r="G2019" s="1"/>
  <c r="G2020"/>
  <c r="G2023"/>
  <c r="A2024"/>
  <c r="A2025" s="1"/>
  <c r="A2026" s="1"/>
  <c r="G2024"/>
  <c r="G2025"/>
  <c r="G2026"/>
  <c r="G2054"/>
  <c r="A2055"/>
  <c r="A2056" s="1"/>
  <c r="A2057" s="1"/>
  <c r="G2055"/>
  <c r="G2056"/>
  <c r="G2057"/>
  <c r="G2061"/>
  <c r="A2062"/>
  <c r="A2063" s="1"/>
  <c r="A2064" s="1"/>
  <c r="A2065" s="1"/>
  <c r="A2066" s="1"/>
  <c r="A2067" s="1"/>
  <c r="A2068" s="1"/>
  <c r="A2069" s="1"/>
  <c r="A2070" s="1"/>
  <c r="A2071" s="1"/>
  <c r="A2072" s="1"/>
  <c r="A2073" s="1"/>
  <c r="C2062"/>
  <c r="F2062"/>
  <c r="C2063"/>
  <c r="F2063"/>
  <c r="C2064"/>
  <c r="G2064" s="1"/>
  <c r="C2065"/>
  <c r="G2065" s="1"/>
  <c r="F2066"/>
  <c r="G2066" s="1"/>
  <c r="F2067"/>
  <c r="G2067" s="1"/>
  <c r="F2068"/>
  <c r="G2068" s="1"/>
  <c r="F2069"/>
  <c r="G2069" s="1"/>
  <c r="G2070"/>
  <c r="G2071"/>
  <c r="G2072"/>
  <c r="G2073"/>
  <c r="G2108"/>
  <c r="A2109"/>
  <c r="G2109"/>
  <c r="G2113"/>
  <c r="A2114"/>
  <c r="A2115" s="1"/>
  <c r="A2116" s="1"/>
  <c r="A2117" s="1"/>
  <c r="A2118" s="1"/>
  <c r="F2114"/>
  <c r="G2114" s="1"/>
  <c r="F2115"/>
  <c r="G2115" s="1"/>
  <c r="F2116"/>
  <c r="G2116" s="1"/>
  <c r="G2117"/>
  <c r="G2118"/>
  <c r="G2149"/>
  <c r="A2150"/>
  <c r="A2152" s="1"/>
  <c r="A2153" s="1"/>
  <c r="A2155" s="1"/>
  <c r="A2156" s="1"/>
  <c r="A2158" s="1"/>
  <c r="A2160" s="1"/>
  <c r="A2162" s="1"/>
  <c r="A2163" s="1"/>
  <c r="A2164" s="1"/>
  <c r="A2165" s="1"/>
  <c r="G2150"/>
  <c r="G2152"/>
  <c r="G2153"/>
  <c r="G2155"/>
  <c r="G2156"/>
  <c r="G2158"/>
  <c r="G2159"/>
  <c r="G2160"/>
  <c r="G2161"/>
  <c r="G2162"/>
  <c r="G2163"/>
  <c r="G2164"/>
  <c r="G2165"/>
  <c r="H523" i="7"/>
  <c r="B831" i="1"/>
  <c r="B252"/>
  <c r="B411"/>
  <c r="B369"/>
  <c r="B2077"/>
  <c r="B457"/>
  <c r="B745"/>
  <c r="B947"/>
  <c r="B785"/>
  <c r="B667"/>
  <c r="B501"/>
  <c r="B702"/>
  <c r="B542"/>
  <c r="H479" i="8" l="1"/>
  <c r="H478"/>
  <c r="AM45" i="11"/>
  <c r="H475" i="6"/>
  <c r="H2141" i="7"/>
  <c r="H2058" i="1"/>
  <c r="H1407"/>
  <c r="H865"/>
  <c r="G1434" i="7"/>
  <c r="H1436" s="1"/>
  <c r="H1438" s="1"/>
  <c r="H1439" s="1"/>
  <c r="H1689" i="1"/>
  <c r="H767"/>
  <c r="L1271" i="7"/>
  <c r="G995"/>
  <c r="H997" s="1"/>
  <c r="H999" s="1"/>
  <c r="H1000" s="1"/>
  <c r="G862"/>
  <c r="H864" s="1"/>
  <c r="H866" s="1"/>
  <c r="H867" s="1"/>
  <c r="G1362" i="1"/>
  <c r="G1363" s="1"/>
  <c r="H1343" i="7"/>
  <c r="H1269"/>
  <c r="G1033"/>
  <c r="H1035" s="1"/>
  <c r="H1037" s="1"/>
  <c r="H1038" s="1"/>
  <c r="G1661"/>
  <c r="H1663" s="1"/>
  <c r="H1665" s="1"/>
  <c r="H1666" s="1"/>
  <c r="H1021" i="1"/>
  <c r="K1174" i="7"/>
  <c r="K1175" s="1"/>
  <c r="G779"/>
  <c r="H781" s="1"/>
  <c r="H783" s="1"/>
  <c r="H784" s="1"/>
  <c r="H1753" i="1"/>
  <c r="H1325"/>
  <c r="L538" i="7"/>
  <c r="H231"/>
  <c r="H1396" i="1"/>
  <c r="H1112"/>
  <c r="G279"/>
  <c r="G280" s="1"/>
  <c r="H281" s="1"/>
  <c r="H283" s="1"/>
  <c r="H284" s="1"/>
  <c r="G153"/>
  <c r="H155" s="1"/>
  <c r="H157" s="1"/>
  <c r="H158" s="1"/>
  <c r="H614" i="6"/>
  <c r="H432"/>
  <c r="H215"/>
  <c r="G2073" i="7"/>
  <c r="G2074" s="1"/>
  <c r="H197"/>
  <c r="H198" s="1"/>
  <c r="H201" s="1"/>
  <c r="H202" s="1"/>
  <c r="H1572" i="1"/>
  <c r="H1393"/>
  <c r="G823"/>
  <c r="G824" s="1"/>
  <c r="H825" s="1"/>
  <c r="H827" s="1"/>
  <c r="H828" s="1"/>
  <c r="G777"/>
  <c r="H779" s="1"/>
  <c r="H781" s="1"/>
  <c r="H782" s="1"/>
  <c r="H1207" i="7"/>
  <c r="H436"/>
  <c r="H437" s="1"/>
  <c r="H438" s="1"/>
  <c r="H439" s="1"/>
  <c r="H440" s="1"/>
  <c r="H98"/>
  <c r="H101" s="1"/>
  <c r="H102" s="1"/>
  <c r="G2202"/>
  <c r="G2203" s="1"/>
  <c r="H2204" s="1"/>
  <c r="H1619"/>
  <c r="H1621" s="1"/>
  <c r="H1622" s="1"/>
  <c r="H1623" s="1"/>
  <c r="H1624" s="1"/>
  <c r="G1213"/>
  <c r="G1214" s="1"/>
  <c r="H1215" s="1"/>
  <c r="R39" i="11"/>
  <c r="U39" s="1"/>
  <c r="AD39" s="1"/>
  <c r="R43"/>
  <c r="U43" s="1"/>
  <c r="AD43" s="1"/>
  <c r="G1980" i="1"/>
  <c r="G1981" s="1"/>
  <c r="H1920"/>
  <c r="H2323" i="7"/>
  <c r="H949"/>
  <c r="H957" s="1"/>
  <c r="H958" s="1"/>
  <c r="G2062" i="1"/>
  <c r="H1968"/>
  <c r="H1697"/>
  <c r="G1620"/>
  <c r="G1621" s="1"/>
  <c r="H1620" s="1"/>
  <c r="H1622" s="1"/>
  <c r="H1623" s="1"/>
  <c r="H1411"/>
  <c r="H1313"/>
  <c r="H972"/>
  <c r="M21" i="5"/>
  <c r="M22" s="1"/>
  <c r="H666" i="6"/>
  <c r="H269"/>
  <c r="H2184" i="7"/>
  <c r="H1464"/>
  <c r="H1466" s="1"/>
  <c r="H1468" s="1"/>
  <c r="H1469" s="1"/>
  <c r="G1156"/>
  <c r="G1164" s="1"/>
  <c r="H658"/>
  <c r="H613"/>
  <c r="D258" i="8"/>
  <c r="H258" s="1"/>
  <c r="H1423" i="1"/>
  <c r="H1202"/>
  <c r="H1203" s="1"/>
  <c r="G112"/>
  <c r="H114" s="1"/>
  <c r="H116" s="1"/>
  <c r="H117" s="1"/>
  <c r="G364" i="6"/>
  <c r="G365" s="1"/>
  <c r="G1886" i="7"/>
  <c r="G1887" s="1"/>
  <c r="H1888" s="1"/>
  <c r="H1890" s="1"/>
  <c r="H1891" s="1"/>
  <c r="G1942"/>
  <c r="G1943" s="1"/>
  <c r="H1944" s="1"/>
  <c r="H1383"/>
  <c r="H1392" s="1"/>
  <c r="H1393" s="1"/>
  <c r="G1291"/>
  <c r="G1292" s="1"/>
  <c r="H1873" i="1"/>
  <c r="H1414"/>
  <c r="H1319"/>
  <c r="G1165"/>
  <c r="G1166" s="1"/>
  <c r="H1165" s="1"/>
  <c r="H1167" s="1"/>
  <c r="H1168" s="1"/>
  <c r="H1116"/>
  <c r="H639"/>
  <c r="G632" i="6"/>
  <c r="G633" s="1"/>
  <c r="H634" s="1"/>
  <c r="H1924" i="7"/>
  <c r="G2341"/>
  <c r="G2342" s="1"/>
  <c r="H2343" s="1"/>
  <c r="H1532"/>
  <c r="H1533" s="1"/>
  <c r="H915"/>
  <c r="H917" s="1"/>
  <c r="H918" s="1"/>
  <c r="H919" s="1"/>
  <c r="H920" s="1"/>
  <c r="H469"/>
  <c r="H475" s="1"/>
  <c r="H476" s="1"/>
  <c r="G23"/>
  <c r="H25" s="1"/>
  <c r="H27" s="1"/>
  <c r="H28" s="1"/>
  <c r="I892" i="4"/>
  <c r="R53" i="11"/>
  <c r="U53" s="1"/>
  <c r="R52"/>
  <c r="U52" s="1"/>
  <c r="R50"/>
  <c r="U50" s="1"/>
  <c r="AD50" s="1"/>
  <c r="R41"/>
  <c r="U41" s="1"/>
  <c r="AD41" s="1"/>
  <c r="R42"/>
  <c r="U42" s="1"/>
  <c r="AD42" s="1"/>
  <c r="R40"/>
  <c r="U40" s="1"/>
  <c r="AD40" s="1"/>
  <c r="I816" i="4"/>
  <c r="I853"/>
  <c r="H2020" i="1"/>
  <c r="G883"/>
  <c r="G884" s="1"/>
  <c r="H885" s="1"/>
  <c r="H887" s="1"/>
  <c r="H888" s="1"/>
  <c r="H360" i="6"/>
  <c r="H620" i="7"/>
  <c r="G2063" i="1"/>
  <c r="H1936"/>
  <c r="G1662"/>
  <c r="G1663" s="1"/>
  <c r="H1663" s="1"/>
  <c r="H1665" s="1"/>
  <c r="H1666" s="1"/>
  <c r="G1529"/>
  <c r="G1530" s="1"/>
  <c r="H1529" s="1"/>
  <c r="H1418"/>
  <c r="H1248"/>
  <c r="H1243"/>
  <c r="H1237"/>
  <c r="G1079"/>
  <c r="H574"/>
  <c r="G244"/>
  <c r="H246" s="1"/>
  <c r="H58"/>
  <c r="H124" i="6"/>
  <c r="G1990" i="7"/>
  <c r="H2025"/>
  <c r="H2375"/>
  <c r="H1576"/>
  <c r="H1577" s="1"/>
  <c r="H1495"/>
  <c r="G1350"/>
  <c r="H1352" s="1"/>
  <c r="H816"/>
  <c r="H824" s="1"/>
  <c r="H825" s="1"/>
  <c r="G581"/>
  <c r="G582" s="1"/>
  <c r="H583" s="1"/>
  <c r="H585" s="1"/>
  <c r="H586" s="1"/>
  <c r="H520"/>
  <c r="H512"/>
  <c r="I824" i="4"/>
  <c r="H160" i="7"/>
  <c r="H164" s="1"/>
  <c r="H167" s="1"/>
  <c r="H168" s="1"/>
  <c r="I870" i="4"/>
  <c r="G667" i="7"/>
  <c r="G668" s="1"/>
  <c r="H669" s="1"/>
  <c r="H2167" i="1"/>
  <c r="H2169" s="1"/>
  <c r="H2170" s="1"/>
  <c r="H2171" s="1"/>
  <c r="H2172" s="1"/>
  <c r="H2026"/>
  <c r="G1841"/>
  <c r="G1842" s="1"/>
  <c r="H1841" s="1"/>
  <c r="H1844" s="1"/>
  <c r="H1845" s="1"/>
  <c r="H1749"/>
  <c r="G1123"/>
  <c r="H1125" s="1"/>
  <c r="G939"/>
  <c r="G321"/>
  <c r="G322" s="1"/>
  <c r="H323" s="1"/>
  <c r="H236"/>
  <c r="G684" i="6"/>
  <c r="G685" s="1"/>
  <c r="G529"/>
  <c r="H531" s="1"/>
  <c r="H533" s="1"/>
  <c r="H534" s="1"/>
  <c r="G2238" i="7"/>
  <c r="H2240" s="1"/>
  <c r="H2242" s="1"/>
  <c r="H2243" s="1"/>
  <c r="H2274"/>
  <c r="G2286"/>
  <c r="H1072"/>
  <c r="H1081" s="1"/>
  <c r="H1082" s="1"/>
  <c r="G243"/>
  <c r="G244" s="1"/>
  <c r="H245" s="1"/>
  <c r="H2110" i="1"/>
  <c r="H2008"/>
  <c r="G1792"/>
  <c r="G1793" s="1"/>
  <c r="H1792" s="1"/>
  <c r="H1795" s="1"/>
  <c r="H1796" s="1"/>
  <c r="H1741"/>
  <c r="H924"/>
  <c r="H311"/>
  <c r="H316" i="6"/>
  <c r="H326" s="1"/>
  <c r="H327" s="1"/>
  <c r="G281"/>
  <c r="G233"/>
  <c r="G234" s="1"/>
  <c r="H235" s="1"/>
  <c r="H17"/>
  <c r="R17"/>
  <c r="R22" s="1"/>
  <c r="R23" s="1"/>
  <c r="H1730" i="7"/>
  <c r="H1739" s="1"/>
  <c r="H1740" s="1"/>
  <c r="G2393"/>
  <c r="G1119"/>
  <c r="H1121" s="1"/>
  <c r="H1123" s="1"/>
  <c r="H1124" s="1"/>
  <c r="G365"/>
  <c r="H367" s="1"/>
  <c r="H369" s="1"/>
  <c r="H370" s="1"/>
  <c r="H402"/>
  <c r="H403" s="1"/>
  <c r="H406" s="1"/>
  <c r="H407" s="1"/>
  <c r="G318"/>
  <c r="H320" s="1"/>
  <c r="H322" s="1"/>
  <c r="H323" s="1"/>
  <c r="E924" i="4"/>
  <c r="E925" s="1"/>
  <c r="H299" i="8"/>
  <c r="I307"/>
  <c r="I254"/>
  <c r="I269"/>
  <c r="I276"/>
  <c r="G2032" i="7"/>
  <c r="H2033" s="1"/>
  <c r="H2014" i="1"/>
  <c r="H1285"/>
  <c r="H1287" s="1"/>
  <c r="H1288" s="1"/>
  <c r="G659"/>
  <c r="G577" i="6"/>
  <c r="H702" i="7"/>
  <c r="G714"/>
  <c r="J954"/>
  <c r="H1254" i="1"/>
  <c r="G1028"/>
  <c r="H1030" s="1"/>
  <c r="G694"/>
  <c r="H696" s="1"/>
  <c r="H698" s="1"/>
  <c r="H699" s="1"/>
  <c r="G449"/>
  <c r="H439"/>
  <c r="H353"/>
  <c r="H365" s="1"/>
  <c r="H366" s="1"/>
  <c r="G24"/>
  <c r="H26" s="1"/>
  <c r="H565" i="6"/>
  <c r="H1833" i="7"/>
  <c r="H1978"/>
  <c r="H1500"/>
  <c r="J1426" s="1"/>
  <c r="G281"/>
  <c r="H283" s="1"/>
  <c r="H285" s="1"/>
  <c r="H286" s="1"/>
  <c r="I844" i="4"/>
  <c r="I878"/>
  <c r="I900"/>
  <c r="H2119" i="1"/>
  <c r="H2121" s="1"/>
  <c r="G599"/>
  <c r="J23" i="4"/>
  <c r="J26" s="1"/>
  <c r="J27" s="1"/>
  <c r="H1929" i="1"/>
  <c r="H1563"/>
  <c r="H482"/>
  <c r="H17"/>
  <c r="K193" i="6"/>
  <c r="G1842" i="7"/>
  <c r="G2148"/>
  <c r="H1880" i="1"/>
  <c r="H1883" s="1"/>
  <c r="H1708"/>
  <c r="G1579"/>
  <c r="H1489"/>
  <c r="H1429"/>
  <c r="H1404"/>
  <c r="G988"/>
  <c r="G737"/>
  <c r="H739" s="1"/>
  <c r="H741" s="1"/>
  <c r="H742" s="1"/>
  <c r="G534"/>
  <c r="H536" s="1"/>
  <c r="H538" s="1"/>
  <c r="H539" s="1"/>
  <c r="G493"/>
  <c r="H398"/>
  <c r="H407" s="1"/>
  <c r="H408" s="1"/>
  <c r="G204"/>
  <c r="G69"/>
  <c r="G493" i="6"/>
  <c r="G439"/>
  <c r="G177"/>
  <c r="G133"/>
  <c r="G26"/>
  <c r="H2069" i="7"/>
  <c r="H1153"/>
  <c r="I225" i="8"/>
  <c r="I221"/>
  <c r="I198"/>
  <c r="I169"/>
  <c r="I173"/>
  <c r="I22"/>
  <c r="I25" s="1"/>
  <c r="I58"/>
  <c r="I61" s="1"/>
  <c r="I94"/>
  <c r="I97" s="1"/>
  <c r="I130"/>
  <c r="I133" s="1"/>
  <c r="I480" l="1"/>
  <c r="I481" s="1"/>
  <c r="I484" s="1"/>
  <c r="I485" s="1"/>
  <c r="N484" s="1"/>
  <c r="H1032" i="1"/>
  <c r="H1033" s="1"/>
  <c r="I303" i="8"/>
  <c r="I308" s="1"/>
  <c r="I310" s="1"/>
  <c r="I311" s="1"/>
  <c r="K299"/>
  <c r="K303" s="1"/>
  <c r="H2074" i="1"/>
  <c r="H2075" s="1"/>
  <c r="H2076" s="1"/>
  <c r="H2077" s="1"/>
  <c r="H2035" i="7"/>
  <c r="H2036" s="1"/>
  <c r="G1757" i="1"/>
  <c r="G1758" s="1"/>
  <c r="H1757" s="1"/>
  <c r="H1759" s="1"/>
  <c r="H1760" s="1"/>
  <c r="H1293" i="7"/>
  <c r="H1295" s="1"/>
  <c r="H1296" s="1"/>
  <c r="H237" i="6"/>
  <c r="H238" s="1"/>
  <c r="H1217" i="7"/>
  <c r="H1218" s="1"/>
  <c r="H247"/>
  <c r="H248" s="1"/>
  <c r="G1710" i="1"/>
  <c r="G1711" s="1"/>
  <c r="H1710" s="1"/>
  <c r="H1712" s="1"/>
  <c r="H1713" s="1"/>
  <c r="H1204"/>
  <c r="H1205" s="1"/>
  <c r="H1362"/>
  <c r="H1364" s="1"/>
  <c r="H1365" s="1"/>
  <c r="H2075" i="7"/>
  <c r="H2078" s="1"/>
  <c r="H2079" s="1"/>
  <c r="H671"/>
  <c r="H672" s="1"/>
  <c r="H1354"/>
  <c r="H1355" s="1"/>
  <c r="H1885" i="1"/>
  <c r="H1886" s="1"/>
  <c r="AD54" i="11"/>
  <c r="AE40"/>
  <c r="V40"/>
  <c r="V50"/>
  <c r="AE50"/>
  <c r="AE39"/>
  <c r="V39"/>
  <c r="V41"/>
  <c r="AE41"/>
  <c r="AE43"/>
  <c r="V43"/>
  <c r="AE42"/>
  <c r="V42"/>
  <c r="AE53"/>
  <c r="AG53" s="1"/>
  <c r="V53"/>
  <c r="AE52"/>
  <c r="AG52" s="1"/>
  <c r="V52"/>
  <c r="H636" i="6"/>
  <c r="H637" s="1"/>
  <c r="I901" i="4"/>
  <c r="I903" s="1"/>
  <c r="G282" i="6"/>
  <c r="H283" s="1"/>
  <c r="H285" s="1"/>
  <c r="H286" s="1"/>
  <c r="H521" i="7"/>
  <c r="H524" s="1"/>
  <c r="H525" s="1"/>
  <c r="H1980" i="1"/>
  <c r="H1982" s="1"/>
  <c r="H1983" s="1"/>
  <c r="H2206" i="7"/>
  <c r="H2207" s="1"/>
  <c r="H2028" i="1"/>
  <c r="H2029" s="1"/>
  <c r="H2030" s="1"/>
  <c r="H2031" s="1"/>
  <c r="H1127"/>
  <c r="H1128" s="1"/>
  <c r="I825" i="4"/>
  <c r="I827" s="1"/>
  <c r="H622" i="7"/>
  <c r="H623" s="1"/>
  <c r="H2345"/>
  <c r="H2346" s="1"/>
  <c r="H1166"/>
  <c r="J1090"/>
  <c r="D259" i="8"/>
  <c r="H259" s="1"/>
  <c r="I263" s="1"/>
  <c r="I277" s="1"/>
  <c r="I279" s="1"/>
  <c r="I280" s="1"/>
  <c r="N21" i="5"/>
  <c r="N23" s="1"/>
  <c r="N24" s="1"/>
  <c r="H248" i="1"/>
  <c r="H249" s="1"/>
  <c r="H686" i="6"/>
  <c r="H688" s="1"/>
  <c r="H689" s="1"/>
  <c r="H366"/>
  <c r="H369" s="1"/>
  <c r="H370" s="1"/>
  <c r="H1946" i="7"/>
  <c r="H1947" s="1"/>
  <c r="G940" i="1"/>
  <c r="H941" s="1"/>
  <c r="H943" s="1"/>
  <c r="H944" s="1"/>
  <c r="H1502" i="7"/>
  <c r="H1503" s="1"/>
  <c r="H1327" i="1"/>
  <c r="H1328" s="1"/>
  <c r="H1329" s="1"/>
  <c r="H1330" s="1"/>
  <c r="I854" i="4"/>
  <c r="I879"/>
  <c r="I881" s="1"/>
  <c r="F49" i="7" s="1"/>
  <c r="G49" s="1"/>
  <c r="H58" s="1"/>
  <c r="H61" s="1"/>
  <c r="H1256" i="1"/>
  <c r="H1257" s="1"/>
  <c r="H325"/>
  <c r="H326" s="1"/>
  <c r="G1991" i="7"/>
  <c r="H1992" s="1"/>
  <c r="H1994" s="1"/>
  <c r="H1995" s="1"/>
  <c r="H1435" i="1"/>
  <c r="H1437" s="1"/>
  <c r="H1438" s="1"/>
  <c r="G2394" i="7"/>
  <c r="H2395" s="1"/>
  <c r="H2397" s="1"/>
  <c r="H2398" s="1"/>
  <c r="G2287"/>
  <c r="H2288" s="1"/>
  <c r="H2290" s="1"/>
  <c r="H2291" s="1"/>
  <c r="G1080" i="1"/>
  <c r="H1080" s="1"/>
  <c r="H1082" s="1"/>
  <c r="H1083" s="1"/>
  <c r="H1938"/>
  <c r="H1940" s="1"/>
  <c r="H1941" s="1"/>
  <c r="G178" i="6"/>
  <c r="H179" s="1"/>
  <c r="H181" s="1"/>
  <c r="H182" s="1"/>
  <c r="G70" i="1"/>
  <c r="H71" s="1"/>
  <c r="H73" s="1"/>
  <c r="H74" s="1"/>
  <c r="G134" i="6"/>
  <c r="H135" s="1"/>
  <c r="H137" s="1"/>
  <c r="H138" s="1"/>
  <c r="G494"/>
  <c r="H495" s="1"/>
  <c r="H497" s="1"/>
  <c r="H498" s="1"/>
  <c r="G494" i="1"/>
  <c r="H495" s="1"/>
  <c r="H497" s="1"/>
  <c r="H498" s="1"/>
  <c r="G1580"/>
  <c r="H1579" s="1"/>
  <c r="H1581" s="1"/>
  <c r="H1582" s="1"/>
  <c r="G2149" i="7"/>
  <c r="H2150" s="1"/>
  <c r="H2152" s="1"/>
  <c r="H2153" s="1"/>
  <c r="G715"/>
  <c r="H716" s="1"/>
  <c r="H717" s="1"/>
  <c r="H718" s="1"/>
  <c r="H719" s="1"/>
  <c r="H720" s="1"/>
  <c r="G27" i="6"/>
  <c r="H28" s="1"/>
  <c r="H30" s="1"/>
  <c r="H31" s="1"/>
  <c r="G440"/>
  <c r="H441" s="1"/>
  <c r="H443" s="1"/>
  <c r="H444" s="1"/>
  <c r="G989" i="1"/>
  <c r="H990" s="1"/>
  <c r="H992" s="1"/>
  <c r="H993" s="1"/>
  <c r="H2122"/>
  <c r="H2123" s="1"/>
  <c r="H2124" s="1"/>
  <c r="G450"/>
  <c r="H451" s="1"/>
  <c r="H453" s="1"/>
  <c r="H454" s="1"/>
  <c r="G660"/>
  <c r="H661" s="1"/>
  <c r="H663" s="1"/>
  <c r="H664" s="1"/>
  <c r="I226" i="8"/>
  <c r="I229" s="1"/>
  <c r="I230" s="1"/>
  <c r="H1531" i="1"/>
  <c r="H1532" s="1"/>
  <c r="H28"/>
  <c r="H29" s="1"/>
  <c r="G1843" i="7"/>
  <c r="H1844" s="1"/>
  <c r="H1846" s="1"/>
  <c r="H1847" s="1"/>
  <c r="G600" i="1"/>
  <c r="H601" s="1"/>
  <c r="H603" s="1"/>
  <c r="H604" s="1"/>
  <c r="K590" s="1"/>
  <c r="G205"/>
  <c r="H206" s="1"/>
  <c r="H208" s="1"/>
  <c r="H209" s="1"/>
  <c r="G578" i="6"/>
  <c r="H579" s="1"/>
  <c r="H581" s="1"/>
  <c r="H582" s="1"/>
  <c r="I199" i="8"/>
  <c r="I200" s="1"/>
  <c r="I174"/>
  <c r="I177" s="1"/>
  <c r="I178" s="1"/>
  <c r="R485" l="1"/>
  <c r="Q485"/>
  <c r="P485"/>
  <c r="P486" s="1"/>
  <c r="P487" s="1"/>
  <c r="X485"/>
  <c r="W485"/>
  <c r="V485"/>
  <c r="U485"/>
  <c r="T485"/>
  <c r="S485"/>
  <c r="S486" s="1"/>
  <c r="S487" s="1"/>
  <c r="AO54" i="11"/>
  <c r="AO56" s="1"/>
  <c r="AM42"/>
  <c r="AN42"/>
  <c r="AM43"/>
  <c r="AN43"/>
  <c r="AM39"/>
  <c r="AN39"/>
  <c r="AM40"/>
  <c r="AN40"/>
  <c r="AM41"/>
  <c r="AN41"/>
  <c r="AM50"/>
  <c r="AN50"/>
  <c r="H1168" i="7"/>
  <c r="H1169" s="1"/>
  <c r="AF52" i="11"/>
  <c r="AH52" s="1"/>
  <c r="Y52"/>
  <c r="AF53"/>
  <c r="AH53" s="1"/>
  <c r="Y53"/>
  <c r="AE54"/>
  <c r="H431" i="8" s="1"/>
  <c r="V54" i="11"/>
  <c r="H428" i="8" s="1"/>
  <c r="H1258" i="1"/>
  <c r="H1259" s="1"/>
  <c r="T486" i="8" l="1"/>
  <c r="T487" s="1"/>
  <c r="T489" s="1"/>
  <c r="V486"/>
  <c r="V487" s="1"/>
  <c r="X486"/>
  <c r="X487" s="1"/>
  <c r="X488" s="1"/>
  <c r="Q486"/>
  <c r="Q487" s="1"/>
  <c r="Q488" s="1"/>
  <c r="T488"/>
  <c r="S488"/>
  <c r="U486"/>
  <c r="U487" s="1"/>
  <c r="W486"/>
  <c r="W487" s="1"/>
  <c r="R486"/>
  <c r="R487" s="1"/>
  <c r="AN54" i="11"/>
  <c r="AK58" s="1"/>
  <c r="AM54"/>
  <c r="AK57" s="1"/>
  <c r="Z52"/>
  <c r="AC52" s="1"/>
  <c r="AB52"/>
  <c r="Z53"/>
  <c r="AC53" s="1"/>
  <c r="AB53"/>
  <c r="I437" i="8"/>
  <c r="I442" s="1"/>
  <c r="I445" s="1"/>
  <c r="I446" s="1"/>
  <c r="X489" l="1"/>
  <c r="X490" s="1"/>
  <c r="V488"/>
  <c r="Q489"/>
  <c r="P488"/>
  <c r="P490" s="1"/>
  <c r="T490"/>
  <c r="U488"/>
  <c r="U489"/>
  <c r="R488"/>
  <c r="R489"/>
  <c r="W488"/>
  <c r="W489"/>
  <c r="S489"/>
  <c r="S490" s="1"/>
  <c r="Q490"/>
  <c r="V489"/>
  <c r="AA52" i="11"/>
  <c r="AD52" s="1"/>
  <c r="AK59"/>
  <c r="AK60" s="1"/>
  <c r="AA53"/>
  <c r="AD53" s="1"/>
  <c r="V490" i="8" l="1"/>
  <c r="W490"/>
  <c r="R490"/>
  <c r="U490"/>
  <c r="N492" l="1"/>
  <c r="B485" s="1"/>
</calcChain>
</file>

<file path=xl/sharedStrings.xml><?xml version="1.0" encoding="utf-8"?>
<sst xmlns="http://schemas.openxmlformats.org/spreadsheetml/2006/main" count="11193" uniqueCount="2476">
  <si>
    <t xml:space="preserve">                                                                               RENCANA ANGGARAN BIAYA PEKERJAAN</t>
  </si>
  <si>
    <t xml:space="preserve">                                                                           PENGGANTIAN SLUICE GATE </t>
  </si>
  <si>
    <t xml:space="preserve">                                                                           LOKASI: BOOSTER PUMP PASAR IV PADANG BULAN</t>
  </si>
  <si>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</si>
  <si>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</si>
  <si>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</si>
  <si>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</si>
  <si>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</si>
  <si>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</si>
  <si>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</si>
  <si>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</si>
  <si>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</si>
  <si>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</si>
  <si>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Material</t>
  </si>
  <si>
    <t xml:space="preserve">   - Shaft Sluice Gate</t>
  </si>
  <si>
    <t>Buah</t>
  </si>
  <si>
    <t>Hitung</t>
  </si>
  <si>
    <t xml:space="preserve">     Uk : 1⅟₂" x 4 m Sch 40 Seamless Carbon Steel</t>
  </si>
  <si>
    <t>II</t>
  </si>
  <si>
    <t>Biaya Pelaksanaan</t>
  </si>
  <si>
    <t xml:space="preserve">    - Pembuatan Sluice Gate, Frame Sluice Gate &amp; </t>
  </si>
  <si>
    <t>Unit</t>
  </si>
  <si>
    <t xml:space="preserve">      System perapat/seal dengan material Stainles </t>
  </si>
  <si>
    <t xml:space="preserve">      Steel SUS 304</t>
  </si>
  <si>
    <t xml:space="preserve">  - Bongkar Pasang Sluice Gate/ Penyetelan</t>
  </si>
  <si>
    <t>Jumlah biaya pelaksanaan</t>
  </si>
  <si>
    <t>PPn 10%</t>
  </si>
  <si>
    <t>Terbilang:</t>
  </si>
  <si>
    <t>Grand Total</t>
  </si>
  <si>
    <t>Tiga Ratus Tujuh Puluh Sembilan Juta Tujuh Ratus Empat Puluh Tiga Ribu Seratus Rupiah</t>
  </si>
  <si>
    <t>Dibulatkan</t>
  </si>
  <si>
    <t>Disyahkan oleh :</t>
  </si>
  <si>
    <t>Diketahui oleh :</t>
  </si>
  <si>
    <t>Dihitung oleh,</t>
  </si>
  <si>
    <t>Ir. Arif Haryadian M.Si</t>
  </si>
  <si>
    <t>Ir. Zulkifli Lubis, MT</t>
  </si>
  <si>
    <t>Ir. Suparman</t>
  </si>
  <si>
    <t>Kadiv. Perencanaan</t>
  </si>
  <si>
    <t>Kadiv. Operasi Zona 1</t>
  </si>
  <si>
    <t>Kabid. Operasional Pompa</t>
  </si>
  <si>
    <t xml:space="preserve">                                                            REALISASI PELAKSANAAN PEKERJAAN EMERGENCY</t>
  </si>
  <si>
    <t xml:space="preserve">                                                             PERBAIKAN WATER LEVEL</t>
  </si>
  <si>
    <t xml:space="preserve">                                                                LOKASI: BOOSTER PUMP MENARA</t>
  </si>
  <si>
    <t>- Pembuatan pelampung Uk : Ø 15 cm x 30 cm</t>
  </si>
  <si>
    <t>Bh</t>
  </si>
  <si>
    <t xml:space="preserve">  material kuningan</t>
  </si>
  <si>
    <t>-  Kabel Sliing 3 mm</t>
  </si>
  <si>
    <t>Meter</t>
  </si>
  <si>
    <t xml:space="preserve">- Pengecatan tiang penunjuk ukuran air dan pembuatan </t>
  </si>
  <si>
    <t xml:space="preserve">   ukuran dengan steker scoth light</t>
  </si>
  <si>
    <t>- Bongkar pasang pelampung dan kabel sliing</t>
  </si>
  <si>
    <t>Ls</t>
  </si>
  <si>
    <t>- Bongkar pasang papan penunjuk ukuran</t>
  </si>
  <si>
    <t xml:space="preserve">Total </t>
  </si>
  <si>
    <t>Tiga Juta Tujuh Ratus Lima Puluh Sembilan Ribu Delapan Ratus Rupiah</t>
  </si>
  <si>
    <t>Medan,          Desember 2012</t>
  </si>
  <si>
    <t xml:space="preserve">                                                                  RENCANA ANGGARAN BIAYA PEKERJAAN</t>
  </si>
  <si>
    <t xml:space="preserve">                                                              PEMBUATAN MAINHOLE DAN PENCUCIAN RESERVOIR</t>
  </si>
  <si>
    <t xml:space="preserve">                                                             LOKASI: BOOSTER PUMP MARTUBUNG</t>
  </si>
  <si>
    <t>Pekerjaan Pendahuluan</t>
  </si>
  <si>
    <t>-  Pembuatan lobang Mainhole untuk pengangkatan endapan</t>
  </si>
  <si>
    <t>Tempat</t>
  </si>
  <si>
    <t xml:space="preserve">   lumpur dan pengecoran tempat tutup Mainhole.</t>
  </si>
  <si>
    <t>-  Pembuatan tutup Mainhole Reservoir.</t>
  </si>
  <si>
    <t xml:space="preserve">    Plat bordes Uk : 120 x 120 Cm  t : 6 mm</t>
  </si>
  <si>
    <t xml:space="preserve">-  Bobok mainhole reservoir </t>
  </si>
  <si>
    <t xml:space="preserve">   Uk : 50 x 50 cm   tebal : 30 cm</t>
  </si>
  <si>
    <t>Pembersihan Parit</t>
  </si>
  <si>
    <t xml:space="preserve">- Pembersihan/pemotongan rumput saluran parit di areal </t>
  </si>
  <si>
    <t>Lot</t>
  </si>
  <si>
    <t xml:space="preserve">  pagar reservoir. Uk : panjang : 67 m, lebar : 1 m</t>
  </si>
  <si>
    <t>- Pembersihan saluran parit sepanjang 250 m</t>
  </si>
  <si>
    <t>- Pembersihan sampah disekitar parit dekat jembatan</t>
  </si>
  <si>
    <t>III</t>
  </si>
  <si>
    <t>Pemasangan Pompa dan Lampu Penerangan</t>
  </si>
  <si>
    <t>-  Penerangan reservoir 2 hari</t>
  </si>
  <si>
    <t>-  Sewa pompa 6" selama 2 hari</t>
  </si>
  <si>
    <t>-  Sewa pompa 4" selama 2 hari</t>
  </si>
  <si>
    <t>IV</t>
  </si>
  <si>
    <t>Pengurasan/Pencucian Reservoir Uk: 58 x 48 m  tinggi: 4,5 m</t>
  </si>
  <si>
    <t>-  Pengurasan Reservoir t : 50 Cm  (kerja malam)</t>
  </si>
  <si>
    <t>M3</t>
  </si>
  <si>
    <t>Tabel</t>
  </si>
  <si>
    <t>-  Penyikatan dinding Reservoir  (kerja malam)</t>
  </si>
  <si>
    <t>M2</t>
  </si>
  <si>
    <t>-  Penyikatan lantai Reservoir  (kerja malam)</t>
  </si>
  <si>
    <t>- Pengangkatan pasir/lumpur Reservoir  t : 15 Cm  (kerja malam)</t>
  </si>
  <si>
    <t>0.15A4 + 3.05(A10)</t>
  </si>
  <si>
    <t>Enam Puluh Satu Juta Empat Ratus Dua Puluh Dua Ribu Tiga Ratus Rupiah</t>
  </si>
  <si>
    <t>Medan,          Januari 2013</t>
  </si>
  <si>
    <t xml:space="preserve">                                                               PENGGANTIAN BUTTERFLY VALVE DAN CHECK VALVE</t>
  </si>
  <si>
    <t xml:space="preserve">                                                                LOKASI: BOOSTER PUMP SEJARAH DAN BOOSTER PUMP GARU I</t>
  </si>
  <si>
    <t>-  Bongkar pasang Butterfly Valve Ø 400 mm (kerja malam)</t>
  </si>
  <si>
    <t>-  Bongkar pasang Check Valve Ø 200 mm (kerja malam)</t>
  </si>
  <si>
    <t>-  Bongkar pasang Dismantling Joint Ø 200 mm (kerja malam)</t>
  </si>
  <si>
    <t>-  Pengaturan Valve disekitar Booster Pump</t>
  </si>
  <si>
    <t>Dua Juta Tujuh Ratus Tujuh Puluh Enam Ribu Enam Ratus Rupiah</t>
  </si>
  <si>
    <t xml:space="preserve">                                                             LOKASI: BOOSTER PUMP SEJARAH</t>
  </si>
  <si>
    <t>-  Penerangan reservoir</t>
  </si>
  <si>
    <t>Pengurasan/Pencucian Reservoir Uk: 30 x 30 m  tinggi: 5 m</t>
  </si>
  <si>
    <t>Dua Puluh Sembilan Juta Empat Ratus Sembilan Puluh Ribu Lima Ratus Rupiah</t>
  </si>
  <si>
    <t xml:space="preserve">                                                     RENCANA ANGGARAN BIAYA PEKERJAAN</t>
  </si>
  <si>
    <t xml:space="preserve">                                                     PERBAIKAN LANTAI RUANGAN POMPA</t>
  </si>
  <si>
    <t xml:space="preserve">                                                               LOKASI: BOOSTER PUMP GAVERTA</t>
  </si>
  <si>
    <t>-  Penimbunan pasir lantai ruangan</t>
  </si>
  <si>
    <t>m³</t>
  </si>
  <si>
    <t>A.18</t>
  </si>
  <si>
    <t>-  Pengecoran lantai ruangan pompa</t>
  </si>
  <si>
    <t xml:space="preserve">   beton cor  1 : 2 : 3</t>
  </si>
  <si>
    <t>G.41.A</t>
  </si>
  <si>
    <t>-  Pengecoran lantai jalur kabel</t>
  </si>
  <si>
    <t xml:space="preserve">   beton cor 1 : 3 : 5</t>
  </si>
  <si>
    <t>G.41.c</t>
  </si>
  <si>
    <t>-  Pemasangan lantai keramik  Uk: 30 x 30</t>
  </si>
  <si>
    <t>m²</t>
  </si>
  <si>
    <t>G.72.b</t>
  </si>
  <si>
    <t>-  Pengangkatan dan penyusunan kembali jalur kabel</t>
  </si>
  <si>
    <t xml:space="preserve">   Incoming Pompa No.1, 2, 3, dan 4</t>
  </si>
  <si>
    <t>-  Pengecatan Pipa Header dan pipa Discharge Pompa</t>
  </si>
  <si>
    <t xml:space="preserve">   2 x cat kilat Bee Brand</t>
  </si>
  <si>
    <t>K.11a</t>
  </si>
  <si>
    <t>Tujuh Juta Seratus Empat Belas Ribu Empat Ratus Rupiah</t>
  </si>
  <si>
    <t>Medan,          November 2012</t>
  </si>
  <si>
    <t xml:space="preserve">                                                           REKAP REALISASI PEMBELIAN DAN PERBAIKAN ALAT OPERASIONAL </t>
  </si>
  <si>
    <t xml:space="preserve">                                                 BOOSTER PUMP DIVISI OPERASI ZONA I</t>
  </si>
  <si>
    <t xml:space="preserve">  1. Pembelian kunci gudang Booster Pump Laubeng</t>
  </si>
  <si>
    <t>-</t>
  </si>
  <si>
    <t xml:space="preserve">      Klewang</t>
  </si>
  <si>
    <t xml:space="preserve">  2. Selang Sodium Hypochlorine Booster Pump Mabar</t>
  </si>
  <si>
    <t xml:space="preserve">  3. Baut Valve Pompa Booster Pump Martubung</t>
  </si>
  <si>
    <t xml:space="preserve">      - Mur 3/4</t>
  </si>
  <si>
    <t xml:space="preserve">      - Baut Fulldrat 3/4 x 1 meter</t>
  </si>
  <si>
    <t>Btg</t>
  </si>
  <si>
    <t xml:space="preserve">  4. Alat bantu kerja Zona I</t>
  </si>
  <si>
    <t xml:space="preserve">      - Mata gergaji</t>
  </si>
  <si>
    <t xml:space="preserve">      - Pahat besi</t>
  </si>
  <si>
    <t xml:space="preserve">  5. Lampu penerangan Booster Pump Laubeng Klewang</t>
  </si>
  <si>
    <t xml:space="preserve">      - Kap hijau + fitting besi</t>
  </si>
  <si>
    <t>Set</t>
  </si>
  <si>
    <t xml:space="preserve">      - Tiang AH</t>
  </si>
  <si>
    <t xml:space="preserve">      - Lampu Ess 45 watt Hannoch</t>
  </si>
  <si>
    <t xml:space="preserve">      - Senter charger led</t>
  </si>
  <si>
    <t xml:space="preserve">      - Fitting gantung Mitsui</t>
  </si>
  <si>
    <t xml:space="preserve">      - Isolasi </t>
  </si>
  <si>
    <t>roll</t>
  </si>
  <si>
    <t xml:space="preserve">      - Lampu Ess 18 watt Hannoch</t>
  </si>
  <si>
    <t xml:space="preserve">  6. Lampu penerangan Booster Pump Laubeng Klewang</t>
  </si>
  <si>
    <t xml:space="preserve">      - Cok cabang T</t>
  </si>
  <si>
    <t xml:space="preserve">      - Steker betina</t>
  </si>
  <si>
    <t xml:space="preserve">  7. Tutup jendela ruang trafo Booster Pump Marelan</t>
  </si>
  <si>
    <t xml:space="preserve">      - Kenopi hijau</t>
  </si>
  <si>
    <t xml:space="preserve">      - kabel ti x 150 </t>
  </si>
  <si>
    <t xml:space="preserve">      - Pisau Cutter</t>
  </si>
  <si>
    <t xml:space="preserve">  8. Pompa solar Booster Pump Cemara</t>
  </si>
  <si>
    <t xml:space="preserve">      - Impeler pompa</t>
  </si>
  <si>
    <t xml:space="preserve">      - O ring</t>
  </si>
  <si>
    <t xml:space="preserve">  9. Perbaikan Pompa solar Booster Pump Cemara</t>
  </si>
  <si>
    <t>10. Selang alat kalibrasi</t>
  </si>
  <si>
    <t xml:space="preserve">      - selang flexible</t>
  </si>
  <si>
    <t xml:space="preserve">      - Sealtype</t>
  </si>
  <si>
    <t>11. Lampu penerangan Booster Pump Rumah Susun</t>
  </si>
  <si>
    <t xml:space="preserve">      - Fitting gantung</t>
  </si>
  <si>
    <t xml:space="preserve">      - Kran 3/4 </t>
  </si>
  <si>
    <t xml:space="preserve">      - Lampu Ess 26 watt Hannoch</t>
  </si>
  <si>
    <t>12. Drum untuk stock BBM soalr Booster Pump Marelan</t>
  </si>
  <si>
    <t>13. Drum untuk stock BBM soalr Booster Pump Marelan</t>
  </si>
  <si>
    <t>14. Lampu penerangan ruang pompa Booster Pump Menara</t>
  </si>
  <si>
    <t xml:space="preserve">      - Battery 9 volt</t>
  </si>
  <si>
    <t xml:space="preserve">      - Senter 4 led</t>
  </si>
  <si>
    <t xml:space="preserve">      - Lampu Ess 23 watt Hannoch</t>
  </si>
  <si>
    <t xml:space="preserve">15. Pembelian Battery charger 12 - 24 volt untuk Booster Pump </t>
  </si>
  <si>
    <t>16. Perbaikan battery charger Booster Pump Tuasan</t>
  </si>
  <si>
    <t>17. Biaya pembuatan spoelpiece Ø 300 mm</t>
  </si>
  <si>
    <t>Tiga Juta Lima Ratus Sembilan Puluh Empat Ribu Lima Ratus Rupiah</t>
  </si>
  <si>
    <t xml:space="preserve">                                      RENCANA ANGGARAN BIAYA PEKERJAAN</t>
  </si>
  <si>
    <t xml:space="preserve">                                  PEMASANGAN POMPA No.5</t>
  </si>
  <si>
    <t xml:space="preserve">                                       LOKASI: BOOSTER PUMP LAUBENG KLEWANG</t>
  </si>
  <si>
    <t>1. Pipa Suction</t>
  </si>
  <si>
    <t xml:space="preserve">    - Pipa Ø 400 mm Stell Sch 40  t : 11 mm</t>
  </si>
  <si>
    <t>m</t>
  </si>
  <si>
    <t xml:space="preserve">    - Dismentling Joint Ø 400 mm</t>
  </si>
  <si>
    <t xml:space="preserve">    - All Flange Butterfly Valve Ø 400 mm Flowcon Gear Operated</t>
  </si>
  <si>
    <t xml:space="preserve">    - Excentric Reducer Stell 400 x 300 mm</t>
  </si>
  <si>
    <t xml:space="preserve">    - Mur Baut 3/4 x 4"</t>
  </si>
  <si>
    <t xml:space="preserve">    - Rubber Packing   t : 5 mm</t>
  </si>
  <si>
    <t xml:space="preserve">    - Flange Steel Ø 16 "  t : 20 mm</t>
  </si>
  <si>
    <t xml:space="preserve">    - Blink Flange Steel Ø 16 "  t : 20 mm</t>
  </si>
  <si>
    <t>2. Pipa Discharge</t>
  </si>
  <si>
    <t xml:space="preserve">    - Pipa Ø 400 mm Steel Sch 40  t : 11 mm</t>
  </si>
  <si>
    <t xml:space="preserve">    - Reducer Ø 400 x 250 mm</t>
  </si>
  <si>
    <t xml:space="preserve">    - All Flange Butterly Valve Ø 400 mm Flowcon Gear Operated</t>
  </si>
  <si>
    <t xml:space="preserve">    - Check Valve Ø 400 mm Yone</t>
  </si>
  <si>
    <t xml:space="preserve">    - Bend Ø 400 x 45° Stell</t>
  </si>
  <si>
    <t xml:space="preserve">    - flange Stell Ø 16"  t : 20 mm</t>
  </si>
  <si>
    <t xml:space="preserve">    - Mur Baut  3/4 x 4"</t>
  </si>
  <si>
    <t>3. Pompa</t>
  </si>
  <si>
    <t xml:space="preserve">    - Pompa Type</t>
  </si>
  <si>
    <t>Stock Gudang</t>
  </si>
  <si>
    <t xml:space="preserve">    - Elektromotor 110 Kw</t>
  </si>
  <si>
    <t xml:space="preserve">    - Baut Angker Baja 1" x 7"</t>
  </si>
  <si>
    <t xml:space="preserve">4. Panel Auto Trafo 3 step lengkap komponen dan </t>
  </si>
  <si>
    <t xml:space="preserve">    box panel Uk: 80 x 200 x 80 Cm (data terlampir)</t>
  </si>
  <si>
    <t xml:space="preserve">    - Kabel NYY 1 x 150 mm Merk Supreme</t>
  </si>
  <si>
    <t xml:space="preserve">    - Schoen kabel Tembaga Full</t>
  </si>
  <si>
    <t xml:space="preserve">    - Pemasangan pipa stell Ø 400 mm</t>
  </si>
  <si>
    <t xml:space="preserve">    - Pengelasan pipa</t>
  </si>
  <si>
    <t xml:space="preserve">    - Pemotongan pipa</t>
  </si>
  <si>
    <t xml:space="preserve">    - Pemasangan Dismentling Joint</t>
  </si>
  <si>
    <t xml:space="preserve">    - Pemasangan Butterfly Valve Ø 400 mm </t>
  </si>
  <si>
    <t xml:space="preserve">    - Pemasangan All Flange Reducer Ø 400 x 300 mm</t>
  </si>
  <si>
    <t xml:space="preserve">    - Pemasangan pipa steel Ø 400 mm</t>
  </si>
  <si>
    <t xml:space="preserve">    - Pengelasan penuh</t>
  </si>
  <si>
    <t xml:space="preserve">    - Pemasangan All Flange Reducer Ø 300 x 250 mm</t>
  </si>
  <si>
    <t xml:space="preserve">    - Pemasangan Check valve Ø 400 mm</t>
  </si>
  <si>
    <t xml:space="preserve">    - Pemasangan Dismentling Joint Ø 400 mm</t>
  </si>
  <si>
    <t>3. Pembuatan Chassis Pompa</t>
  </si>
  <si>
    <t xml:space="preserve">    - Pengecatan Chassis 3 x cat</t>
  </si>
  <si>
    <t>K.11.9</t>
  </si>
  <si>
    <t>4. Pembuatan Pondasi beton bertulang  1 : 2 : 3</t>
  </si>
  <si>
    <t xml:space="preserve">    dengan besi 50 Kg/m3</t>
  </si>
  <si>
    <t>Spl V</t>
  </si>
  <si>
    <t xml:space="preserve">    - Pembobolan lantai beton bertulang </t>
  </si>
  <si>
    <t xml:space="preserve">      Uk : 180 x 100 x 30 Cm</t>
  </si>
  <si>
    <t>Tpt</t>
  </si>
  <si>
    <t>5. Pemasangan Pompa, Elektromotor/ penyetelan</t>
  </si>
  <si>
    <t xml:space="preserve">    dan Commisioning Test</t>
  </si>
  <si>
    <t>6. Pemasangan panel lengkap komponen/konek</t>
  </si>
  <si>
    <t xml:space="preserve">     kabel Incoming/Out going</t>
  </si>
  <si>
    <t>7. Pemasangan Support pipa beton bertulang 1 : 2 : 3</t>
  </si>
  <si>
    <t xml:space="preserve">    - pembobolan lantai beton bertulang</t>
  </si>
  <si>
    <t xml:space="preserve">      Uk : 84 x 50 x 30 Cm</t>
  </si>
  <si>
    <t>Jasa Pelaksanaan</t>
  </si>
  <si>
    <t>Dua ratus dua puluh delapan juta delapan ratus empat puluh enam ribu sembilan ratus rupiah</t>
  </si>
  <si>
    <t>Medan,           Januari 2013</t>
  </si>
  <si>
    <t>Disahkan oleh :</t>
  </si>
  <si>
    <t>RENCANA ANGGARAN BIAYA PEKERJAAN</t>
  </si>
  <si>
    <t>PENGGANTIAN GATE VALVE DAN CHECK VALVE</t>
  </si>
  <si>
    <t>LOKASI: BOOSTER PUMP TUASAN</t>
  </si>
  <si>
    <t xml:space="preserve">1. Penggantian assesories Pipa Discharge Pompa </t>
  </si>
  <si>
    <t xml:space="preserve">    No.3 dan No.5  (Malam hari)</t>
  </si>
  <si>
    <t xml:space="preserve">   - Bongkar pasang Dismeatling Joint Ø 250 mm</t>
  </si>
  <si>
    <t xml:space="preserve">   - Bongkar pasang Butterfly Valve Ø 250 mm</t>
  </si>
  <si>
    <t xml:space="preserve">   - Bongkar pasang Check Valve Ø 250 mm</t>
  </si>
  <si>
    <t xml:space="preserve">   - Pemotongan pipa Ø 250 mm Steel untuk pompa </t>
  </si>
  <si>
    <t xml:space="preserve">     No.5</t>
  </si>
  <si>
    <t>M</t>
  </si>
  <si>
    <t xml:space="preserve">   - Pengelasan pipa Ø 250 mm Steel untuk pompa </t>
  </si>
  <si>
    <t>2. Perbaikan Gate Valve Pipa Suction Ø 400 mm</t>
  </si>
  <si>
    <t xml:space="preserve">    (malam hari)</t>
  </si>
  <si>
    <t xml:space="preserve">   - Bongkar pasang Gate Valve Ø 400 mm </t>
  </si>
  <si>
    <t>3. Pembuatan Shaft Gate Valve Ø 400 mm (tempa)</t>
  </si>
  <si>
    <t xml:space="preserve">    dan pemasangan kembali </t>
  </si>
  <si>
    <t xml:space="preserve">    Shaft Material: SS SUS 316</t>
  </si>
  <si>
    <t xml:space="preserve">    Seetting Material:Aluminium Bronze</t>
  </si>
  <si>
    <t xml:space="preserve">4. Pengaturan Valve Inlet dan Outlet disekitar </t>
  </si>
  <si>
    <t xml:space="preserve">    Booster Pump.</t>
  </si>
  <si>
    <t>Sebelas Juta Tiga Ratus Satu Ribu Delapan Ratus Rupiah</t>
  </si>
  <si>
    <t>Medan,      Agustus 2012</t>
  </si>
  <si>
    <t xml:space="preserve">PENGGANTIAN SLUICE GATE </t>
  </si>
  <si>
    <t>LOKASI: BOOSTER PUMP MARTUBUNG</t>
  </si>
  <si>
    <t xml:space="preserve">      System perapat/sel dengan material Stainles </t>
  </si>
  <si>
    <t>Medan,      Oktober 2012</t>
  </si>
  <si>
    <t xml:space="preserve">                                                  RENCANA ANGGARAN BIAYA PEKERJAAN</t>
  </si>
  <si>
    <t xml:space="preserve">                                                 PERBAIKAN ROOF TANGKI MENARA</t>
  </si>
  <si>
    <t xml:space="preserve">                                                       LOKASI: BOOSTER PUMP MENARA</t>
  </si>
  <si>
    <t>I.</t>
  </si>
  <si>
    <t>A. Pengecatan roof Tangki Menara</t>
  </si>
  <si>
    <t xml:space="preserve">    -  Pembersihan, penyekrapan karat rangka besi dan atap</t>
  </si>
  <si>
    <r>
      <t>M</t>
    </r>
    <r>
      <rPr>
        <sz val="11"/>
        <rFont val="Arial"/>
        <family val="2"/>
      </rPr>
      <t>²</t>
    </r>
  </si>
  <si>
    <t>K.34</t>
  </si>
  <si>
    <t xml:space="preserve">        Menara bagian bawah</t>
  </si>
  <si>
    <t xml:space="preserve">    -  Pembersihan dan menyikat karat besi atap Menara </t>
  </si>
  <si>
    <t xml:space="preserve">        bagian atas</t>
  </si>
  <si>
    <t xml:space="preserve">    -  Pengecatan atap bagian bawah 4 x cat.</t>
  </si>
  <si>
    <t xml:space="preserve">       2 x cat dasar, 2 x cat finishing diatas menara</t>
  </si>
  <si>
    <t xml:space="preserve">    -  Pengecatan roof bagian atas 3 x cat</t>
  </si>
  <si>
    <t xml:space="preserve">       1 x cat dasar, 2 x cat finishing </t>
  </si>
  <si>
    <t xml:space="preserve">B. Pemasangan/Pembongkaran Safety Tools, </t>
  </si>
  <si>
    <t xml:space="preserve">     perancah/Scafolding. Plastik pengaman kotoran </t>
  </si>
  <si>
    <t xml:space="preserve">     karat dan alat bantu kerja lainnya</t>
  </si>
  <si>
    <t xml:space="preserve">C. Pembersihan disekitar lokasi kerja. </t>
  </si>
  <si>
    <t>D. Biaya Asuransi pekerja selama pelaksanaan</t>
  </si>
  <si>
    <t>orang</t>
  </si>
  <si>
    <t>Empat Puluh Lima Juta Tiga Ratus Lima Puluh Tiga Ribu Seratus Rupiah</t>
  </si>
  <si>
    <t>Medan,      Januari 2013</t>
  </si>
  <si>
    <t>PERBAIKAN LANTAI RUANG POMPA DAN PEMBUATAN MAINHOLE</t>
  </si>
  <si>
    <t>LOKASI: BOOSTER PUMP SIMALINGKAR</t>
  </si>
  <si>
    <t xml:space="preserve">    -  Pasir timbun</t>
  </si>
  <si>
    <r>
      <t>M</t>
    </r>
    <r>
      <rPr>
        <sz val="9"/>
        <rFont val="Arial"/>
        <family val="2"/>
      </rPr>
      <t>³</t>
    </r>
  </si>
  <si>
    <t xml:space="preserve">    -  Tangki Fiber  isi 250 liter</t>
  </si>
  <si>
    <t xml:space="preserve">    -  Pengangkat/meratakan pasir ke dalam ruang </t>
  </si>
  <si>
    <t xml:space="preserve">       pompa</t>
  </si>
  <si>
    <t xml:space="preserve">    -  Pengecoran lantai ruang pompa </t>
  </si>
  <si>
    <t>G.41a</t>
  </si>
  <si>
    <t xml:space="preserve">       Beton cor  1 : 2 : 3   t = 10 Cm</t>
  </si>
  <si>
    <t xml:space="preserve">    -  Pemasangan keramik (30 x 30)</t>
  </si>
  <si>
    <r>
      <t>M</t>
    </r>
    <r>
      <rPr>
        <sz val="9"/>
        <rFont val="Arial"/>
        <family val="2"/>
      </rPr>
      <t>²</t>
    </r>
  </si>
  <si>
    <t>G.72b</t>
  </si>
  <si>
    <t xml:space="preserve">    -  Pembuatan tutup canel kabel </t>
  </si>
  <si>
    <t xml:space="preserve">       Plat bordes Uk: 220 x 25 Cm  t = 5 mm</t>
  </si>
  <si>
    <t>Pembuatan lobang Mainhole dan Tumpuan Tutup</t>
  </si>
  <si>
    <t>Mainhole</t>
  </si>
  <si>
    <t xml:space="preserve">    -  Bobok lantai atas reservoir</t>
  </si>
  <si>
    <t xml:space="preserve">       Beton cor  1 : 2 : 3  Uk: 40 x 40 Cm</t>
  </si>
  <si>
    <t xml:space="preserve">    -  Membuat tumpuan tangki Sodium </t>
  </si>
  <si>
    <t>G.41c</t>
  </si>
  <si>
    <t xml:space="preserve">       Beton cor 1 : 3 : 5</t>
  </si>
  <si>
    <t xml:space="preserve">    -  Meninggikan tumpuan tutup mainhole reservoir </t>
  </si>
  <si>
    <t xml:space="preserve">    -  Pembersihan disekitar lokasi kerja</t>
  </si>
  <si>
    <t>Dua Belas Juta Enam Ratus Delapan Puluh Delapan Ribu Seratus Rupiah</t>
  </si>
  <si>
    <t>PENGURASAN/PENCUCIAN RESERVOIR</t>
  </si>
  <si>
    <t>LOKASI: BOOSTER PUMP LAUBENG KLEWANG</t>
  </si>
  <si>
    <t>Perbaikan Pendahuluan</t>
  </si>
  <si>
    <t xml:space="preserve">    -  Penerangan reservoir 3 sekat</t>
  </si>
  <si>
    <t xml:space="preserve">    -  Sewa Pompa 6"</t>
  </si>
  <si>
    <t xml:space="preserve">    -  Sewa Pompa 4"</t>
  </si>
  <si>
    <t xml:space="preserve">    -  Alat bantu kerja</t>
  </si>
  <si>
    <t xml:space="preserve">    -  Pemasangan pompa dan setting +</t>
  </si>
  <si>
    <t xml:space="preserve">       Pembongkaran pompa</t>
  </si>
  <si>
    <t>Pengurasan/Pencucian</t>
  </si>
  <si>
    <t>Reservoir Uk: 45 x 42 x 6 mm</t>
  </si>
  <si>
    <t xml:space="preserve">    -  Pengurasan reservoir  t=50 Cm (kerja malam)</t>
  </si>
  <si>
    <t xml:space="preserve">    -  Penyikatan dinding reservoir  (kerja malam)</t>
  </si>
  <si>
    <t xml:space="preserve">    -  Penyikatan lantai reservoir  (kerja malam)</t>
  </si>
  <si>
    <r>
      <t xml:space="preserve">    -  Pengangkatan lumpur </t>
    </r>
    <r>
      <rPr>
        <u/>
        <sz val="9"/>
        <rFont val="Calibri"/>
        <family val="2"/>
      </rPr>
      <t>+</t>
    </r>
    <r>
      <rPr>
        <sz val="9"/>
        <rFont val="Calibri"/>
        <family val="2"/>
      </rPr>
      <t xml:space="preserve"> 5 Cm  (kerja malam)</t>
    </r>
  </si>
  <si>
    <t>0.05A4 + 3A10</t>
  </si>
  <si>
    <t>Lain - lain</t>
  </si>
  <si>
    <t xml:space="preserve">    -  Perancah/tangga</t>
  </si>
  <si>
    <t xml:space="preserve">    -  Dokumentasi</t>
  </si>
  <si>
    <t>Tiga puluh empat juta empat ratus lima puluh lima ribu lima ratus rupiah</t>
  </si>
  <si>
    <t>Medan,      September 2012</t>
  </si>
  <si>
    <t>PERBAIKAN PIPA HEADER Ø 600 MM</t>
  </si>
  <si>
    <t>Perbaikan Pipa Header</t>
  </si>
  <si>
    <t xml:space="preserve">    -  Perbaikan Pipa Header Ø 600 mm </t>
  </si>
  <si>
    <t>unit</t>
  </si>
  <si>
    <t xml:space="preserve">       dan Acesories/Bongkar pasang</t>
  </si>
  <si>
    <t>Pengecatan Pipa Header</t>
  </si>
  <si>
    <t xml:space="preserve">    -  Pembersihan dan penyikatan Pipa Header dengan</t>
  </si>
  <si>
    <t xml:space="preserve">       sikat baja</t>
  </si>
  <si>
    <t xml:space="preserve">    -  Pengecatan Pipa Header 1 x cat dasar + 2 x cat</t>
  </si>
  <si>
    <t xml:space="preserve">       kilat Bee Brand</t>
  </si>
  <si>
    <t>Empat Belas Juta Sembilan Ratus Tiga Puluh Sembilan Ribu Delapan Ratus Rupiah</t>
  </si>
  <si>
    <t>Medan,      Juni 2012</t>
  </si>
  <si>
    <t>PENGGANTIAN TUTUP CHANEL KABEL DAN PINTU RUANG POMPA</t>
  </si>
  <si>
    <t xml:space="preserve">    -  Pembuatan tutup chanel kabel</t>
  </si>
  <si>
    <t xml:space="preserve">       Plat Bordes Uk : 120 x 87 Cm</t>
  </si>
  <si>
    <t xml:space="preserve">       Tebal : 5 mm dengan plat siku 50 x 50 x 5 mm</t>
  </si>
  <si>
    <t xml:space="preserve">       dan pengecatan</t>
  </si>
  <si>
    <t xml:space="preserve">    -  Pembuatan tutup chanel</t>
  </si>
  <si>
    <t xml:space="preserve">       Plat Bordes Uk : 120 x 109 Cm</t>
  </si>
  <si>
    <t xml:space="preserve">    -  Tempa pintu harmonika</t>
  </si>
  <si>
    <t xml:space="preserve">        Uk : 240 x 240 Cm lengkap kusen + kunci dan </t>
  </si>
  <si>
    <t xml:space="preserve">        pemasangan</t>
  </si>
  <si>
    <t xml:space="preserve">    -  Pengecatan ruang operator </t>
  </si>
  <si>
    <t>K.23</t>
  </si>
  <si>
    <t xml:space="preserve">        2 x cat</t>
  </si>
  <si>
    <t xml:space="preserve">    -  Tempa pintu panel</t>
  </si>
  <si>
    <t xml:space="preserve">        Papan Uk : 90 x 210 Cm lengkap kunci dan </t>
  </si>
  <si>
    <t xml:space="preserve">    -  Tempa pintu panel </t>
  </si>
  <si>
    <t xml:space="preserve">        Papan sembarang keras Uk : 80 x 210 Cm</t>
  </si>
  <si>
    <t xml:space="preserve">        lengkap kunci dan pemasangan</t>
  </si>
  <si>
    <t>Tujuh Belas Juta Seratus Empat Puluh Tujuh Ribu Dua Ratus Rupiah</t>
  </si>
  <si>
    <t>Medan,      Juli 2012</t>
  </si>
  <si>
    <t>PENGGANTIAN BUTTERFLY VALVE POMPA NO.2</t>
  </si>
  <si>
    <t>MATERIAL</t>
  </si>
  <si>
    <t xml:space="preserve">    -  Butterfly Valve Ø 300 mm </t>
  </si>
  <si>
    <t>STOCK GUDANG</t>
  </si>
  <si>
    <t xml:space="preserve">    -  Rubber Packing 3 mm</t>
  </si>
  <si>
    <t>Jumlah biaya material</t>
  </si>
  <si>
    <t>Biaya Pelaksanaan (Malam hari)</t>
  </si>
  <si>
    <t xml:space="preserve">    -  Bongkar pasang Butterfly Valve Ø 300 mm </t>
  </si>
  <si>
    <t xml:space="preserve">    -  Bongkar pasang Dismentling Joint Ø 300 mm</t>
  </si>
  <si>
    <t xml:space="preserve">    -  Pengaturan Valve Air masuk/keluar </t>
  </si>
  <si>
    <t>Hari</t>
  </si>
  <si>
    <t>Dua juta seratus tiga puluh sembilan ribu rupiah</t>
  </si>
  <si>
    <t>Medan,      Mei 2012</t>
  </si>
  <si>
    <t>PERBAIKAN PIPA DISCHARGE POMPA NO.4 BP. TUASAN  DAN POMPA NO.2 BP. MEDAN DENAI</t>
  </si>
  <si>
    <t>LOKASI: BOOSTER PUMP TUASAN DAN MEDAN DENAI</t>
  </si>
  <si>
    <t>1. Booster Pump Tuasan</t>
  </si>
  <si>
    <t xml:space="preserve">    - Flange Steel Ø 250 mm</t>
  </si>
  <si>
    <t xml:space="preserve">    - Pipa Steel Ø 250 mm</t>
  </si>
  <si>
    <t>Cm</t>
  </si>
  <si>
    <t xml:space="preserve">    - Rubber Packing 3 mm</t>
  </si>
  <si>
    <t>2. Booster Pump Medan Denai</t>
  </si>
  <si>
    <t xml:space="preserve">    - Flange Steel Ø 150 mm</t>
  </si>
  <si>
    <t xml:space="preserve">    - Pipa Steel Ø 150 mm</t>
  </si>
  <si>
    <t xml:space="preserve">    - Bongkar pasang Butterfly Valve Ø 250 mm </t>
  </si>
  <si>
    <t xml:space="preserve">    - Bongkar pasang Dismentling Joint Ø 250 mm</t>
  </si>
  <si>
    <t xml:space="preserve">    - Bongkar pasang Pipa Discharge Steel Ø 250 mm</t>
  </si>
  <si>
    <t xml:space="preserve">    - Pemotongan Pipa Steel Ø 250 mm</t>
  </si>
  <si>
    <t xml:space="preserve">    - Pengelasan Flange/Pipa Steel Ø 250 mm</t>
  </si>
  <si>
    <t xml:space="preserve">    - Bongkar pasang Butterfly Valve Ø 150 mm </t>
  </si>
  <si>
    <t xml:space="preserve">    - Bongkar pasang Dismentling Joint Ø 150 mm</t>
  </si>
  <si>
    <t xml:space="preserve">    - Pemotongan Pipa Steel Ø 150 mm</t>
  </si>
  <si>
    <t xml:space="preserve">    - Pengelasan Pipa/Flange las penuh</t>
  </si>
  <si>
    <t>Dua juta lima ratus lima ribu rupiah</t>
  </si>
  <si>
    <t>Medan,      April 2012</t>
  </si>
  <si>
    <t>PEMASANGAN MAGNETIC FLOW ISOLV Ø 500 MM JALUR AIR MASUK RESERVOIR GARU 1</t>
  </si>
  <si>
    <t>LOKASI: BOOSTER PUMP GARU 1</t>
  </si>
  <si>
    <t>Magnetic Flow  Ø 500 mm</t>
  </si>
  <si>
    <t>set</t>
  </si>
  <si>
    <t>stoc gudang</t>
  </si>
  <si>
    <t>Bolt &amp; Nut 3/4x4 flange magnetic</t>
  </si>
  <si>
    <t>bh</t>
  </si>
  <si>
    <t>Bolt &amp; Nut 3/4x6 collar</t>
  </si>
  <si>
    <t>Rubber packing tebal 3 mm</t>
  </si>
  <si>
    <t>Pekerjaan (malam hari)</t>
  </si>
  <si>
    <t xml:space="preserve">Bongkar pasang magnetic flow </t>
  </si>
  <si>
    <t>tabel</t>
  </si>
  <si>
    <t>Angkat &amp; langsir magnetic flow</t>
  </si>
  <si>
    <t>ls</t>
  </si>
  <si>
    <t>Bongkar/pasang collar Ø 500 mm</t>
  </si>
  <si>
    <t>Install magnetic flow</t>
  </si>
  <si>
    <t>Penyetelan valve air masuk/bypass/wo</t>
  </si>
  <si>
    <t>titik</t>
  </si>
  <si>
    <t>Pompa, Pengeringan bak magnetic</t>
  </si>
  <si>
    <t>hari</t>
  </si>
  <si>
    <t>Penerangan</t>
  </si>
  <si>
    <t>malam</t>
  </si>
  <si>
    <t>Pembersihan lokasi</t>
  </si>
  <si>
    <t>Sewa Crane</t>
  </si>
  <si>
    <t>hitung</t>
  </si>
  <si>
    <t>Dua Belas Juta Enam Ratus Delapan Puluh Satu Ribu Tujuh Ratus Rupiah</t>
  </si>
  <si>
    <t>Ir. Zulkifli Lubis</t>
  </si>
  <si>
    <t>PEKERJAAN PENCUCIAN BAK RESERVOIR</t>
  </si>
  <si>
    <t>LOKASI: BOOSTER PUMP PERUM. CEMARA ASRI</t>
  </si>
  <si>
    <t>CABANG CEMARA</t>
  </si>
  <si>
    <t>No.</t>
  </si>
  <si>
    <t>Uraian Pekerjaan</t>
  </si>
  <si>
    <t>Vol.</t>
  </si>
  <si>
    <t>Sat</t>
  </si>
  <si>
    <t>Analisa</t>
  </si>
  <si>
    <t>Harga Satuan</t>
  </si>
  <si>
    <t xml:space="preserve">Jumlah Harga </t>
  </si>
  <si>
    <t>Sub. Total</t>
  </si>
  <si>
    <t>( Rp. )</t>
  </si>
  <si>
    <t>Pek. Pendahuluan</t>
  </si>
  <si>
    <t>Persiapan/survey</t>
  </si>
  <si>
    <t>Sewa pompa Ø 6 "</t>
  </si>
  <si>
    <t>Sewa pompa Ø 4 "</t>
  </si>
  <si>
    <t>Alat bantu kerja</t>
  </si>
  <si>
    <t>Pemasangan pompa dan setting</t>
  </si>
  <si>
    <t>II.</t>
  </si>
  <si>
    <t>Pengurasan/Pencucian Reservoir I (42x16,5x5)</t>
  </si>
  <si>
    <t>Pengurasan Reservoir ta: 50 cm (K. Malam)</t>
  </si>
  <si>
    <t>Penyikatan Dinding Reservoir (K. Malam)</t>
  </si>
  <si>
    <t>Penyikatan Lantai Reservoir (K. Malam)</t>
  </si>
  <si>
    <t>Pengangkatan lumpur tebal ± 18 cm (K. Malam)</t>
  </si>
  <si>
    <t>0.18A4 + 3A10</t>
  </si>
  <si>
    <t>Pengurasan/Pencucian Reservoir II (42x16,5x5)</t>
  </si>
  <si>
    <t>Pengurasan reservoir ta: 50 cm (k. malam)</t>
  </si>
  <si>
    <t>Penyikatan reservoir (k. malam)</t>
  </si>
  <si>
    <t>Penyikatan lantai reservoir (k. malam)</t>
  </si>
  <si>
    <t>Pengangkatan lumpur tebal ± 10 cm (k. malam)</t>
  </si>
  <si>
    <t>Lain-lain</t>
  </si>
  <si>
    <t xml:space="preserve">Perancah </t>
  </si>
  <si>
    <t>Pembersihan Lokasi</t>
  </si>
  <si>
    <t xml:space="preserve">Melangsir Lumpur </t>
  </si>
  <si>
    <t>Dokumentasi</t>
  </si>
  <si>
    <t>Jumlah</t>
  </si>
  <si>
    <t>PPN 10%</t>
  </si>
  <si>
    <t>Empat Puluh Enam Juta Lima Ratus Tiga Puluh Satu Ribu Sembilan Ratus Rupiah</t>
  </si>
  <si>
    <t xml:space="preserve">TOTAL </t>
  </si>
  <si>
    <t>Medan,       Juni 2012</t>
  </si>
  <si>
    <t>RENCANA ANGGARAN BIAYA (RAB) PEKERJAAN</t>
  </si>
  <si>
    <t>PEMASANGAN CHECK VALVE DAN GATE VALVE PADA PIPA AIR MASUK KE MENARA Ø 200 MM DAN Ø 250 MM</t>
  </si>
  <si>
    <t>LOKASI: BOOSTER PUMP MENARA</t>
  </si>
  <si>
    <t>Gate valve Ø 200 mm</t>
  </si>
  <si>
    <t>barang gudang</t>
  </si>
  <si>
    <t>gate valve Ø 250 mm</t>
  </si>
  <si>
    <t>Check valve Ø 200 mm</t>
  </si>
  <si>
    <t>Rubber packing 3 mm</t>
  </si>
  <si>
    <t>Bongkar flange steel Ø 200 &amp; 250 mm</t>
  </si>
  <si>
    <t>Pemotongan pipa Ø 200 mm 2x</t>
  </si>
  <si>
    <t>m'</t>
  </si>
  <si>
    <t>Pemotongan pipa Ø 250 mm 2x</t>
  </si>
  <si>
    <t>Pengelasan penuh pipa Ø 200 mm 3x</t>
  </si>
  <si>
    <t>Pengelasan penuh pipa Ø 250 mm 3x</t>
  </si>
  <si>
    <t>Pengeboran flange gate valve</t>
  </si>
  <si>
    <t>lubang</t>
  </si>
  <si>
    <t>Pasang gate valve Ø 200 mm</t>
  </si>
  <si>
    <t>Pasang gate valve Ø 250 mm</t>
  </si>
  <si>
    <t>Bongkar Pasang Check valve Ø 200 mm</t>
  </si>
  <si>
    <t>Penyetelan gate valve air masuk-keluar</t>
  </si>
  <si>
    <t>Langsir material dan peralatan kerja</t>
  </si>
  <si>
    <t>Pembersihan lokasi dan peralatan</t>
  </si>
  <si>
    <t>Jumlah biaya pekerjaan</t>
  </si>
  <si>
    <t>Medan,       Maret  2012</t>
  </si>
  <si>
    <t>Dihitung oleh :</t>
  </si>
  <si>
    <t>Ir. Arif Haryadian, MSi</t>
  </si>
  <si>
    <t>Muhri Fepri Iswanto ST</t>
  </si>
  <si>
    <t>Ir. Lampo Siregar</t>
  </si>
  <si>
    <t>Pls. Kadiv. Operasi Zona 1</t>
  </si>
  <si>
    <t>PENGGANTIAN CHECK VALVE Ø 250 MM POMPA NO. 2</t>
  </si>
  <si>
    <t>LOKASI: BP. SEI AGUL</t>
  </si>
  <si>
    <t>Check valve Ø 250 mm</t>
  </si>
  <si>
    <t>stok gudang</t>
  </si>
  <si>
    <t xml:space="preserve">Pekerjaan </t>
  </si>
  <si>
    <t>Stelan valve air masuk/bypass</t>
  </si>
  <si>
    <t>Bongkar pasang check valve</t>
  </si>
  <si>
    <t>Bongkar pasang spool pice</t>
  </si>
  <si>
    <t>Bongkar pasang dismentling</t>
  </si>
  <si>
    <t>Penyetelan dismentling</t>
  </si>
  <si>
    <t>Total</t>
  </si>
  <si>
    <t>Satu juta tiga ratus enam puluh satu ribu rupiah</t>
  </si>
  <si>
    <t>Medan, 08 Mei 2012</t>
  </si>
  <si>
    <t>PERBAIKAN 2 UNIT FOOT VALVE Ø 600 MM</t>
  </si>
  <si>
    <t>LOKASI: BP. LAUBENG KLEWANG</t>
  </si>
  <si>
    <t xml:space="preserve">Pelaksanaan Pekerjaan </t>
  </si>
  <si>
    <t>Penggantian Baut baja Uk: 3/4x5 inc (bongkar pasang)</t>
  </si>
  <si>
    <t>Penggantian Disk Foot Valve Ø 600 mm x 30 mm</t>
  </si>
  <si>
    <t>Material :SUS 316</t>
  </si>
  <si>
    <t xml:space="preserve">Rubber packing 5 mm </t>
  </si>
  <si>
    <t>Penggantian Shaft Foot Valve Ø 50 x 250 mm (pengelasan)</t>
  </si>
  <si>
    <t>Material:SUS 316 (tempa)</t>
  </si>
  <si>
    <t>Bongkar/ Kopel Foot Valve,penyekrapan,pengecatan</t>
  </si>
  <si>
    <t xml:space="preserve">Rekondisi Flange Foot Valve Ø 1000 mm </t>
  </si>
  <si>
    <t>bubut/sekrap, Couting + pengecatan</t>
  </si>
  <si>
    <t>Rekondisi Flange Hausing Foot Valve Ø 1000 mm</t>
  </si>
  <si>
    <t>bubut/sekrap</t>
  </si>
  <si>
    <t>Rekondisi Flange Saringan Foot Valve Ø 1000 mm</t>
  </si>
  <si>
    <t>Rekondisi Saringan Foot Valve Ø 1000 mm</t>
  </si>
  <si>
    <t>Penggantian Plat Shaft Foot Valve (pengelasan)</t>
  </si>
  <si>
    <t>Menurunkan Foot Valve Booster dengan Tadano</t>
  </si>
  <si>
    <t>Trip</t>
  </si>
  <si>
    <t>Pemasangan dengan pipa Header Foot Valve</t>
  </si>
  <si>
    <t>Tujuh Puluh Satu Juta Tujuh Ratus Ribu Delapan Ratus Rupiah</t>
  </si>
  <si>
    <t>Medan,    Juli 2012</t>
  </si>
  <si>
    <t>BREAK DOWN</t>
  </si>
  <si>
    <t>Lokasi : Booster Pump Laubeng Klewang</t>
  </si>
  <si>
    <t>No</t>
  </si>
  <si>
    <t>Vol</t>
  </si>
  <si>
    <t>Anal</t>
  </si>
  <si>
    <t>Jumlah Harga</t>
  </si>
  <si>
    <t xml:space="preserve">  1. Flange spigot Ø 600 x 1000 mm sch 40 t : 12.5 mm (tempa)</t>
  </si>
  <si>
    <t xml:space="preserve">  2. Karet Adaptor Coupling Ø 600 x 1000 mm (tempa)</t>
  </si>
  <si>
    <t xml:space="preserve">  3. Bolt &amp; Nut Ø 1" x 4"</t>
  </si>
  <si>
    <t xml:space="preserve">  4. Ring per Bolt &amp; Nut Ø 1" x 4"</t>
  </si>
  <si>
    <t xml:space="preserve">  5. Rubber Packing t = 5 mm</t>
  </si>
  <si>
    <t xml:space="preserve">Meter </t>
  </si>
  <si>
    <t xml:space="preserve">  6. Bongkar Flange Spigot Ø 600 mm (malam hari)</t>
  </si>
  <si>
    <t xml:space="preserve">  7. Bongkar Mekanical Coupling Ø 600 mm (malam hari)</t>
  </si>
  <si>
    <t xml:space="preserve">  8. Pasang Mekanical Coupling Ø 600 mm (malam hari)</t>
  </si>
  <si>
    <t xml:space="preserve">  9. Pasang Flange Spigot Ø 600 mm (malam hari)</t>
  </si>
  <si>
    <t>10. Dewatering (malam hari)</t>
  </si>
  <si>
    <t>Malam</t>
  </si>
  <si>
    <t>11. Pembuatan Steking (malam hari)</t>
  </si>
  <si>
    <t>12. Penyetelan (malam hari)</t>
  </si>
  <si>
    <t>13. transport material dan peralatan (malam hari)</t>
  </si>
  <si>
    <t xml:space="preserve">Terbilang : </t>
  </si>
  <si>
    <t>Enam belas juta enam ratus enam puluh delapan ribu dua ratus rupiah</t>
  </si>
  <si>
    <t>Tempa Flange Spigot</t>
  </si>
  <si>
    <t>Ø 600 x 1000 mm Sch 40</t>
  </si>
  <si>
    <t>t : 12.5 mm</t>
  </si>
  <si>
    <t xml:space="preserve">   - Pipa Steel Ø 600 x 1000 mm                               </t>
  </si>
  <si>
    <t>=</t>
  </si>
  <si>
    <t>1 meter x Rp. 3,350,000,-</t>
  </si>
  <si>
    <t xml:space="preserve">     Sch 40 t : 12.5 mm                                               </t>
  </si>
  <si>
    <t>Rp. 3,350,000,-</t>
  </si>
  <si>
    <t xml:space="preserve">   - Flange Ø 600 t : 22 mm                                           </t>
  </si>
  <si>
    <t>1 buah x Rp. 2,718,196,-</t>
  </si>
  <si>
    <t xml:space="preserve">                                                                                       </t>
  </si>
  <si>
    <t>Rp. 2,718,196,-</t>
  </si>
  <si>
    <t xml:space="preserve">   - Pemotongan Pipa Ø 600 mm                                   </t>
  </si>
  <si>
    <t>3.76 x Rp. 49,076.36,-</t>
  </si>
  <si>
    <t xml:space="preserve">     t : 12.5 mm                                                                </t>
  </si>
  <si>
    <t xml:space="preserve">   - Pengelasan Pipa Las Penuh                                     </t>
  </si>
  <si>
    <t>3.76 x Rp. 189,231.26,-</t>
  </si>
  <si>
    <t xml:space="preserve">                                                                                        </t>
  </si>
  <si>
    <t xml:space="preserve">                                                                         Total       </t>
  </si>
  <si>
    <t xml:space="preserve">Karet Adaptor Coupling Ø 600 (tempa)                          </t>
  </si>
  <si>
    <t>2 buah x Rp. 750,000,-</t>
  </si>
  <si>
    <t>Rp. 1,500,000,-</t>
  </si>
  <si>
    <t xml:space="preserve">Bolt &amp; Nut Ø 1" x 4"                                                         </t>
  </si>
  <si>
    <t>20 buah x Rp. 14,640,-</t>
  </si>
  <si>
    <t>Rp. 292,800,-</t>
  </si>
  <si>
    <t xml:space="preserve">Ring per Bolt &amp; Nut Ø 1" x 4"                                           </t>
  </si>
  <si>
    <t>40 buah x Rp. 3,000,-</t>
  </si>
  <si>
    <t xml:space="preserve">                                                                                         </t>
  </si>
  <si>
    <t>Rp. 120,000,-</t>
  </si>
  <si>
    <t xml:space="preserve">Rubber Packing t= 5 mm                                                </t>
  </si>
  <si>
    <t>1 meter x Rp. 220,000,-</t>
  </si>
  <si>
    <t>Rp. 220,000,-</t>
  </si>
  <si>
    <t xml:space="preserve">Bongkar/pasang Flange Spigot Ø 600 mm (mlm hari)   </t>
  </si>
  <si>
    <t>1 buah x Rp. 605,385,-</t>
  </si>
  <si>
    <t>Rp. 605,385,-</t>
  </si>
  <si>
    <t xml:space="preserve">Bongkar/pasang Mekanical Coupling Ø 600 mm (mlm hari)   </t>
  </si>
  <si>
    <t xml:space="preserve">                                                                                   </t>
  </si>
  <si>
    <t xml:space="preserve">Dewatering (mlm hari)                                               </t>
  </si>
  <si>
    <t>1 x  Rp. 300,000,-</t>
  </si>
  <si>
    <t>Rp. 300,000,-</t>
  </si>
  <si>
    <t xml:space="preserve">Pembuatan Steking (mlm hari)                                 </t>
  </si>
  <si>
    <t>2 x Rp. 150,000,-</t>
  </si>
  <si>
    <t xml:space="preserve">                                                                                  </t>
  </si>
  <si>
    <t xml:space="preserve">Penyetelan (mlm hari)                                               </t>
  </si>
  <si>
    <t>1 x Rp. 250,000,-</t>
  </si>
  <si>
    <t>Rp. 250,000,-</t>
  </si>
  <si>
    <t xml:space="preserve">                                                               Total </t>
  </si>
  <si>
    <t xml:space="preserve">                                                                 Dibulatkan </t>
  </si>
  <si>
    <t>PEMBUATAN TUTUP CANEL KABEL DAN PINTU RUANG POMPA</t>
  </si>
  <si>
    <t>Lokasi : Booster Pump Martubung</t>
  </si>
  <si>
    <t>Pembuatan Tutup chanel kabel</t>
  </si>
  <si>
    <t>Uk : 120 x 87 Cm</t>
  </si>
  <si>
    <t>- Plat Bordes Uk : 120 x 87 Cm</t>
  </si>
  <si>
    <t>Rp. 357.500</t>
  </si>
  <si>
    <t>-  Plat Siku 50 x 50 x 5 mm panjang 4 m</t>
  </si>
  <si>
    <t>Rp. 248.400</t>
  </si>
  <si>
    <t>-  Pemotongan Plat Bordes t = 5 mm</t>
  </si>
  <si>
    <t>1,2 m x Rp. 49.076,36</t>
  </si>
  <si>
    <t>Rp. 58.891,632</t>
  </si>
  <si>
    <t>-  Pemotongan Besi Siku 50 x 50 x 5 mm</t>
  </si>
  <si>
    <t>0,8 m x Rp. 49.076,36</t>
  </si>
  <si>
    <t xml:space="preserve">   8 sisi x 10 Cm</t>
  </si>
  <si>
    <t>Rp. 39.261,088</t>
  </si>
  <si>
    <t>-  Pengecatan Plat Bordes timbal balik 2 x cat</t>
  </si>
  <si>
    <r>
      <t>2,088 m</t>
    </r>
    <r>
      <rPr>
        <sz val="11"/>
        <color indexed="8"/>
        <rFont val="Arial"/>
        <family val="2"/>
      </rPr>
      <t>² x Rp. 29.891,09</t>
    </r>
  </si>
  <si>
    <t>Rp. 62.412</t>
  </si>
  <si>
    <t xml:space="preserve">-  Pengelasan Plat Siku Ke Plat Bordes </t>
  </si>
  <si>
    <t>0,88 m x Rp. 189.231,26</t>
  </si>
  <si>
    <t xml:space="preserve">   panjang 3 Cm  16 tempat</t>
  </si>
  <si>
    <t>Rp. 166.523,50</t>
  </si>
  <si>
    <t>-  Pembuatan lobang Plat Bordes 4 lobang</t>
  </si>
  <si>
    <t>4 x Rp. 7.645,32</t>
  </si>
  <si>
    <t>Rp. 30.581,28</t>
  </si>
  <si>
    <t>-  Besi beton 12 mm panjang 70 Cm</t>
  </si>
  <si>
    <t>0,624 x Rp. 13.635</t>
  </si>
  <si>
    <t xml:space="preserve">   @ 70 Cm = 0,624 Kg</t>
  </si>
  <si>
    <t>Rp. 8.508,24</t>
  </si>
  <si>
    <t>Rp. 909.728,15</t>
  </si>
  <si>
    <t xml:space="preserve">Pembuatan Tutup chanel </t>
  </si>
  <si>
    <t>Uk : 120 x 109 Cm</t>
  </si>
  <si>
    <t>-  Plat Bordes Uk : 120 x 109 Cm</t>
  </si>
  <si>
    <t>Rp. 454.000</t>
  </si>
  <si>
    <t>-  Plat Siku 50 x 50 x 5 mm panjang 4,5 m</t>
  </si>
  <si>
    <t>Rp. 268.110</t>
  </si>
  <si>
    <t>0,8 m x Rp. 49.076,34</t>
  </si>
  <si>
    <t>-  Pengelasan Plat Siku Ke Plat Bordes</t>
  </si>
  <si>
    <t>1 m x Rp. 189.231,26</t>
  </si>
  <si>
    <t xml:space="preserve">   panjang 3 Cm 18 tempat</t>
  </si>
  <si>
    <t>Rp. 189.231,26</t>
  </si>
  <si>
    <t>-  Pembuatan lobang Plat Bordes  4 lobang</t>
  </si>
  <si>
    <t>-  Besi Beton 12 mm panjang 70 Cm</t>
  </si>
  <si>
    <t>Rp. 1.048.583,500</t>
  </si>
  <si>
    <t>Tempa Pintu Harmonika</t>
  </si>
  <si>
    <r>
      <t>5,76 m</t>
    </r>
    <r>
      <rPr>
        <sz val="11"/>
        <color indexed="8"/>
        <rFont val="Arial"/>
        <family val="2"/>
      </rPr>
      <t>²</t>
    </r>
    <r>
      <rPr>
        <sz val="11"/>
        <color indexed="8"/>
        <rFont val="Calibri"/>
        <family val="2"/>
      </rPr>
      <t xml:space="preserve"> x Rp. 980.900</t>
    </r>
  </si>
  <si>
    <t>Uk : 240 x 240 cm</t>
  </si>
  <si>
    <t>Rp. 5.650.000</t>
  </si>
  <si>
    <t>Lengkap kusen + kunci dan pemasangan</t>
  </si>
  <si>
    <t>Tempa Pintu Panel Papan sembarang keras</t>
  </si>
  <si>
    <t>Rp. 545.000</t>
  </si>
  <si>
    <t>Uk : 90 x 210 Cm</t>
  </si>
  <si>
    <t>- Pemasangan</t>
  </si>
  <si>
    <t>Rp. 75.000</t>
  </si>
  <si>
    <t>- Kunci</t>
  </si>
  <si>
    <t>Rp. 695.000</t>
  </si>
  <si>
    <t>Rp. 480.000</t>
  </si>
  <si>
    <t>Uk : 80 x 210 Cm</t>
  </si>
  <si>
    <t>Rp. 630.000</t>
  </si>
  <si>
    <t>PEMBUATAN TUTUP CANEL KABEL</t>
  </si>
  <si>
    <t>Lokasi : Booster Pump Simalingkar</t>
  </si>
  <si>
    <t>Plat Bordes</t>
  </si>
  <si>
    <t>Plat Bordes Uk: 120 x 25 Cm  t= 5 mm</t>
  </si>
  <si>
    <t>Rp. 190.899,50</t>
  </si>
  <si>
    <t>Besi Siku 50 x 50 x 5 mm Panjang = 4,4 m</t>
  </si>
  <si>
    <t>4,4 m x Rp. 30.000</t>
  </si>
  <si>
    <t>Rp. 132.000</t>
  </si>
  <si>
    <t>Pemotongan Plat Bordes 2,45 m</t>
  </si>
  <si>
    <t>2,45 m x Rp. 49.076,36</t>
  </si>
  <si>
    <t>Rp. 120.237</t>
  </si>
  <si>
    <t>Pengelasan Besi Siku 52 titik</t>
  </si>
  <si>
    <t>52 x Rp. 1.864,79</t>
  </si>
  <si>
    <t>Rp. 96.968,08</t>
  </si>
  <si>
    <t>Rp. 540.105,58</t>
  </si>
  <si>
    <t>Rp. 540.000</t>
  </si>
  <si>
    <t>PENGECATAN ATAP MENARA</t>
  </si>
  <si>
    <t>Lokasi : Booster Pump Menara</t>
  </si>
  <si>
    <t>Fiber Glass</t>
  </si>
  <si>
    <t>Uk: 7000 x 2000 x 300 mm</t>
  </si>
  <si>
    <t>Tebal: 2 mm</t>
  </si>
  <si>
    <t xml:space="preserve">  - Luas Fiber/lembar </t>
  </si>
  <si>
    <t>7 m²</t>
  </si>
  <si>
    <t xml:space="preserve">  - Harga/m²</t>
  </si>
  <si>
    <t xml:space="preserve">  - Harga/ lembar</t>
  </si>
  <si>
    <t>7 x 300,000</t>
  </si>
  <si>
    <t xml:space="preserve">  - Jasa 20%</t>
  </si>
  <si>
    <t>Harga/lembar Fiber Glass Uk : 7000 x 2000 x 300 mm</t>
  </si>
  <si>
    <t>Plat Stainless Steel SUS 201</t>
  </si>
  <si>
    <t>Uk : 30 x 5 x 600 mm</t>
  </si>
  <si>
    <t xml:space="preserve">  - Harga/batang</t>
  </si>
  <si>
    <t>Harga/batang + 20%</t>
  </si>
  <si>
    <t>Cat dasar PenZinc - Primer Epoxy</t>
  </si>
  <si>
    <t>@ Pail 32 Kg</t>
  </si>
  <si>
    <t xml:space="preserve">  - Harga cat/pail</t>
  </si>
  <si>
    <t>Harga/pail + 20%</t>
  </si>
  <si>
    <t>Cat minyak Penta Sinthentic - Top Side</t>
  </si>
  <si>
    <t>@ Pail 25 Kg</t>
  </si>
  <si>
    <t xml:space="preserve">Pengecatan atap bagian bawah 4 x cat, 2 x cat dasar </t>
  </si>
  <si>
    <t>+ 2 x cat finishing posisi diatas menara</t>
  </si>
  <si>
    <t xml:space="preserve">  - Biaya pengecatan/m²</t>
  </si>
  <si>
    <t xml:space="preserve">     3 x cat ( K11.a )</t>
  </si>
  <si>
    <t>26,518 / 3</t>
  </si>
  <si>
    <t xml:space="preserve">     1 x cat </t>
  </si>
  <si>
    <t xml:space="preserve">  - Untuk pengecatan/m²</t>
  </si>
  <si>
    <t>8,839 x 4 x 1.5</t>
  </si>
  <si>
    <t xml:space="preserve">     4 x cat posisi diatas menara</t>
  </si>
  <si>
    <t>Pengecatan atap  bagian atas 3 x cat, 1 x cat dasar</t>
  </si>
  <si>
    <t>+ 2 x cat finishing</t>
  </si>
  <si>
    <t>8,839 x 3 x 1.5</t>
  </si>
  <si>
    <t xml:space="preserve">     1 x cat dasar + 2 x cat finishing posisi diatas menara</t>
  </si>
  <si>
    <t>Pemasangan lapis fiber atap menara bagian bawah/</t>
  </si>
  <si>
    <t xml:space="preserve">penyetelan                                              </t>
  </si>
  <si>
    <t xml:space="preserve">  - Pengeboran plat SS untuk plat fiber</t>
  </si>
  <si>
    <t>16 lobang</t>
  </si>
  <si>
    <t xml:space="preserve">     Pengeboran/lobang</t>
  </si>
  <si>
    <t>7,645.32 (tabel)</t>
  </si>
  <si>
    <t>16 x 7,645.32</t>
  </si>
  <si>
    <t xml:space="preserve">  - Pengeboran besi UNP untuk baut pengikat fiber</t>
  </si>
  <si>
    <t xml:space="preserve">     Pengeboran besi UNP posisi diatas menara</t>
  </si>
  <si>
    <t>16 x 7,645.32 x 1.5</t>
  </si>
  <si>
    <t xml:space="preserve">  - Pengangkatan plat SS, pengangkatan fiber/lembar</t>
  </si>
  <si>
    <t xml:space="preserve">     (@ 7.0 m² )</t>
  </si>
  <si>
    <t xml:space="preserve">    Pemasangan plat SS dan penyetelan ( 1 sel )</t>
  </si>
  <si>
    <t xml:space="preserve">  - Pemasangan fiber/penyetelan @ 7.0 m²</t>
  </si>
  <si>
    <t xml:space="preserve">    Posisi diatas menara</t>
  </si>
  <si>
    <t>PENGGANTIAN SLUICE GATE</t>
  </si>
  <si>
    <t>1.</t>
  </si>
  <si>
    <t>Pembuatan Sluice gate, frame sluice gate dan sistem</t>
  </si>
  <si>
    <t>perapat/sel dengan material Stainless steel SUS 304</t>
  </si>
  <si>
    <t>- Guide frame 1810 x 133 x 200  t: 8 mm</t>
  </si>
  <si>
    <t>89.30 Kg x 140,000</t>
  </si>
  <si>
    <t>- Gate Leaf 910 x 900 mm  t: 8 mm</t>
  </si>
  <si>
    <t>65.20 Kg x 140,000</t>
  </si>
  <si>
    <t>- Rangka penguat daya pintu 120 x 80 x 8  t: 8 mm</t>
  </si>
  <si>
    <t>57.96 Kg x 140,000</t>
  </si>
  <si>
    <t>- Penguat frame pintu 80 x 8 x 900  t: 8 mm</t>
  </si>
  <si>
    <t>21.05 Kg x 140,000</t>
  </si>
  <si>
    <t>- Plat frame 80 x 150 x 900  t: 8 mm</t>
  </si>
  <si>
    <t>10.55 Kg x 140,000</t>
  </si>
  <si>
    <t>- Bottom plate 200 x 1200</t>
  </si>
  <si>
    <t>15.21 Kg x 140,000</t>
  </si>
  <si>
    <t>- Plat penguat lain-lain</t>
  </si>
  <si>
    <t>20 Kg x 140,000</t>
  </si>
  <si>
    <t>- Chemical Anchor + bolt Ø 16 x 200</t>
  </si>
  <si>
    <t>12 set x 575,000</t>
  </si>
  <si>
    <t>- Pin Spindle Ø 16 x 200</t>
  </si>
  <si>
    <t>2 pcs x 250,000</t>
  </si>
  <si>
    <t>- Rubber seal Tempa 1 lot</t>
  </si>
  <si>
    <t>1 lot x 1,900,000</t>
  </si>
  <si>
    <t xml:space="preserve">- Pengeboran, grinding dan setting Stainless Steel </t>
  </si>
  <si>
    <t xml:space="preserve">   1 lot (ls)</t>
  </si>
  <si>
    <t>- Pemotongan Stainless Steel t=8 mm dengan Flashma</t>
  </si>
  <si>
    <t>- Pengelasan penuh Stainless Steel t= 8 mm p=11 meter</t>
  </si>
  <si>
    <t xml:space="preserve">  @ Rp. 500,000</t>
  </si>
  <si>
    <t>11 x 500,000</t>
  </si>
  <si>
    <t>2.</t>
  </si>
  <si>
    <t>Shaft Sluice gate pipa Ø 1⅟₂" x 6 m</t>
  </si>
  <si>
    <t>Carbon Steel Schedule 60  1 unit (Ls)</t>
  </si>
  <si>
    <t>3.</t>
  </si>
  <si>
    <t>Bongkar pasang Sluice gate, bongkar pasang Guide</t>
  </si>
  <si>
    <t xml:space="preserve"> frame, bongkar pasang Anchor, bongkar pasang Shaft,</t>
  </si>
  <si>
    <t xml:space="preserve">  setting ,dll. (kerja malam) 1 unit (Ls)</t>
  </si>
  <si>
    <t>PEMBUATAN MAINHOLE</t>
  </si>
  <si>
    <t>Lokasi : Booster Pump Sejarah</t>
  </si>
  <si>
    <t>Pembuatan lobang Mainhole untuk pengangkatan endapan</t>
  </si>
  <si>
    <t xml:space="preserve">lumpur dan pengecoran tempat tutup Mainhole </t>
  </si>
  <si>
    <t>- Pembobokan lantai atas reservoir beton bertulang K.300</t>
  </si>
  <si>
    <t xml:space="preserve">   Uk: 80 x 80 cm tebal : 30 Cm 1 tempat (Ls)</t>
  </si>
  <si>
    <t>- Bekisting :</t>
  </si>
  <si>
    <t xml:space="preserve">                         - (0.30 x 1.20) x 4 = 1.44 m2</t>
  </si>
  <si>
    <t>2.4 x 182,201.78  (F8.a)</t>
  </si>
  <si>
    <r>
      <t xml:space="preserve">                         - (0.30 x 0.80) x 4 </t>
    </r>
    <r>
      <rPr>
        <u/>
        <sz val="11"/>
        <color indexed="8"/>
        <rFont val="Calibri"/>
        <family val="2"/>
      </rPr>
      <t xml:space="preserve">= 0.96 m2  +  </t>
    </r>
  </si>
  <si>
    <t xml:space="preserve">                                                               2.40 m2</t>
  </si>
  <si>
    <t>- Pengecoran dinding lobang Mainhole beton cor mutu FC</t>
  </si>
  <si>
    <t>0.29 x 455,805.37 (G41.c)</t>
  </si>
  <si>
    <t xml:space="preserve">   Uk : 120 x 120  tebal : 30 cm  lebar : 20 cm</t>
  </si>
  <si>
    <t xml:space="preserve">   cor = (0.30 x 0.20) x 4.8</t>
  </si>
  <si>
    <t xml:space="preserve">          = 0.29 m3</t>
  </si>
  <si>
    <t xml:space="preserve">                                                                                                   Total biaya</t>
  </si>
  <si>
    <t xml:space="preserve">                                                                                                   Dibulatkan</t>
  </si>
  <si>
    <t>Pembuatan tutup Mainhole reservoir plat bordes</t>
  </si>
  <si>
    <t>Uk : 120 cm x 120 cm   tebal : 6 mm</t>
  </si>
  <si>
    <t>- Plat bordes uk : 1.2 m x 1.2 m   tebal : 6 mm</t>
  </si>
  <si>
    <t>1.44 m2</t>
  </si>
  <si>
    <t xml:space="preserve">   Harga/m2 @ Rp. 755,100</t>
  </si>
  <si>
    <t>1.44 m2 x 755,100</t>
  </si>
  <si>
    <t>- Plat siku uk : 50 x 50    tebal : 5 mm</t>
  </si>
  <si>
    <t>4.8 m</t>
  </si>
  <si>
    <t xml:space="preserve">   Harga/m @ Rp. 37,500</t>
  </si>
  <si>
    <t>4.8 m x 37,500</t>
  </si>
  <si>
    <t xml:space="preserve">- Pemotongan Plat siku </t>
  </si>
  <si>
    <t>0.2 m x 49,076.36</t>
  </si>
  <si>
    <t xml:space="preserve">- Pengelasan Plat siku 64 titik </t>
  </si>
  <si>
    <t>64 x 1,863.8</t>
  </si>
  <si>
    <t xml:space="preserve">   Las titik timbal balik</t>
  </si>
  <si>
    <t>Lokasi : Booster Pump Pasar IV Padang Bulan</t>
  </si>
  <si>
    <t>perapat/seal dengan material Stainless steel SUS 304</t>
  </si>
  <si>
    <t>RENCANA JADWAL PENGURASAN RESERVOIR</t>
  </si>
  <si>
    <t>LOKASI : BOOSTER PUMP CEMARA ASRI</t>
  </si>
  <si>
    <t>TANGGAL</t>
  </si>
  <si>
    <t>JAM</t>
  </si>
  <si>
    <t>URAIAN KERJA</t>
  </si>
  <si>
    <t>JUMLAH</t>
  </si>
  <si>
    <t>OPERASI POMPA</t>
  </si>
  <si>
    <t>KETERANGAN</t>
  </si>
  <si>
    <t>POMPA DISTRIBUSI</t>
  </si>
  <si>
    <t>POMPA PENGERING</t>
  </si>
  <si>
    <t>NO.1</t>
  </si>
  <si>
    <t>NO.2</t>
  </si>
  <si>
    <t>NO.3</t>
  </si>
  <si>
    <t>09.00 - 15.00</t>
  </si>
  <si>
    <t>1. Pemasangan peralatan/pemeriksaan</t>
  </si>
  <si>
    <t xml:space="preserve">    kelengkapan peralatan</t>
  </si>
  <si>
    <t>ON</t>
  </si>
  <si>
    <t>OFF</t>
  </si>
  <si>
    <t xml:space="preserve">      - Pemasangan Pompa Ø 4"  </t>
  </si>
  <si>
    <t>1 unit</t>
  </si>
  <si>
    <t xml:space="preserve">      - Pemasangan Pompa Ø 6"  </t>
  </si>
  <si>
    <t xml:space="preserve">      - Pemasangan lampu penerangan </t>
  </si>
  <si>
    <t>Sesuai kebutuhan</t>
  </si>
  <si>
    <t xml:space="preserve">      - Pekerja </t>
  </si>
  <si>
    <t>20 orang</t>
  </si>
  <si>
    <t xml:space="preserve">      - Kelengkapan alat bantu kerja :</t>
  </si>
  <si>
    <t xml:space="preserve">         1. Sapu</t>
  </si>
  <si>
    <t>10 buah</t>
  </si>
  <si>
    <t xml:space="preserve">         2. Alat pendorong Residu</t>
  </si>
  <si>
    <t>6 buah</t>
  </si>
  <si>
    <t xml:space="preserve">         3. Ember pengangkat</t>
  </si>
  <si>
    <t>4 buah</t>
  </si>
  <si>
    <t xml:space="preserve">         4. Brush kawat</t>
  </si>
  <si>
    <t>8 buah</t>
  </si>
  <si>
    <t xml:space="preserve">         5. Brush biasa</t>
  </si>
  <si>
    <t>2. Pelaksanaan Pekerjaan</t>
  </si>
  <si>
    <t xml:space="preserve">    - Penyikatan dinding reservior</t>
  </si>
  <si>
    <t xml:space="preserve">    - Penyikatan lantai reservoir</t>
  </si>
  <si>
    <t xml:space="preserve">    - Pengangkatan lumpur</t>
  </si>
  <si>
    <t xml:space="preserve">    - Pembilasan reservoir</t>
  </si>
  <si>
    <t xml:space="preserve">    - Pengisian reservoir</t>
  </si>
  <si>
    <t xml:space="preserve">    - Pengaturan kembali Valve ke posisi</t>
  </si>
  <si>
    <t xml:space="preserve">      semula</t>
  </si>
  <si>
    <t>05.00</t>
  </si>
  <si>
    <t xml:space="preserve">    - Start Operasi Pompa</t>
  </si>
  <si>
    <t>05.00 - 08.00</t>
  </si>
  <si>
    <t xml:space="preserve">    - Monitoring operasi pompa/jaringan</t>
  </si>
  <si>
    <t>RENCANA JADWAL PEMASANGAN MAGNETIC FLOW Ø 500 mm</t>
  </si>
  <si>
    <t>LOKASI : BOOSTER PUMP GARU I</t>
  </si>
  <si>
    <t>NO.4</t>
  </si>
  <si>
    <t>NO.5</t>
  </si>
  <si>
    <t>SUMP PUMP                Ø 2"</t>
  </si>
  <si>
    <t>14 Sep 2012</t>
  </si>
  <si>
    <t>21.00 - 24.00</t>
  </si>
  <si>
    <t>- Pengaturan Valve pipa transmisi</t>
  </si>
  <si>
    <t xml:space="preserve">   Ø 500 mm</t>
  </si>
  <si>
    <t>- Buka Wash Out (WO)</t>
  </si>
  <si>
    <t xml:space="preserve">- Bongkar pasang Magnetic Flow </t>
  </si>
  <si>
    <t xml:space="preserve">   Ø 500 mm dan accessories</t>
  </si>
  <si>
    <t>- Instal dan setting Control Magnetic</t>
  </si>
  <si>
    <t xml:space="preserve">  Flow</t>
  </si>
  <si>
    <t>24.00</t>
  </si>
  <si>
    <t>- Start operasi pompa</t>
  </si>
  <si>
    <t>- Monitoring operasi pompa/jaringan</t>
  </si>
  <si>
    <t xml:space="preserve">  dan magnetic flow</t>
  </si>
  <si>
    <t>RENCANA JADWAL PEMASANGAN FOOT VALVE Ø 600 mm DAN PENGURASAN RESERVOIR</t>
  </si>
  <si>
    <t>LOKASI : BOOSTER PUMP LAUBENG KLEWANG</t>
  </si>
  <si>
    <t>SUMP PUMP                Ø 4"</t>
  </si>
  <si>
    <t>SUMP PUMP                Ø 6"</t>
  </si>
  <si>
    <t>19 Sep 2012</t>
  </si>
  <si>
    <t>09.00 - 19.00</t>
  </si>
  <si>
    <t>- Persiapan pelaksanaan pekerjaan</t>
  </si>
  <si>
    <t>- Pengangkapan Foot Valve Ø 600 mm</t>
  </si>
  <si>
    <t xml:space="preserve">   keatas reservoir</t>
  </si>
  <si>
    <t>- Persiapan/pemasangan pompa pengering</t>
  </si>
  <si>
    <t>- Pemeriksaan kelengkapan alat kerja</t>
  </si>
  <si>
    <t>- Pemasangan lampu penerangan</t>
  </si>
  <si>
    <t>20.00 - 24.00</t>
  </si>
  <si>
    <t>- Pemasangan Foot Valve Ø 600 mm</t>
  </si>
  <si>
    <t xml:space="preserve">Pendistribusian air </t>
  </si>
  <si>
    <t>- Pengurasan reservoir/pembilasan</t>
  </si>
  <si>
    <t>melalui jalur bypass</t>
  </si>
  <si>
    <t>01.00 - 05.00</t>
  </si>
  <si>
    <t>- Pengisian reservoir</t>
  </si>
  <si>
    <t>- Monitoring Operasional Pompa</t>
  </si>
  <si>
    <t>Pembuatan Lantai Parkir</t>
  </si>
  <si>
    <t xml:space="preserve">   - Pembersihan lokasi</t>
  </si>
  <si>
    <t xml:space="preserve">   - Pengecoran lantai dan pembuatan jalan masuk garasi</t>
  </si>
  <si>
    <t>G41c</t>
  </si>
  <si>
    <t>Pembuatan Kanopi</t>
  </si>
  <si>
    <t>PEMBUATAN TEMPAT PARKIR KENDARAAN</t>
  </si>
  <si>
    <t>LOKASI: BOOSTER PUMP PASAR IV MARELAN</t>
  </si>
  <si>
    <t>PEMASANGAN MAGNETIC FLOW Ø 300 MM</t>
  </si>
  <si>
    <t>LOKASI: BOOSTER PUMP SEI AGUL</t>
  </si>
  <si>
    <t xml:space="preserve">   - Magnetic flow Ø 300 mm</t>
  </si>
  <si>
    <t>Stock gudang</t>
  </si>
  <si>
    <t xml:space="preserve">   - Bolt and Nut Ø 3/4 x 4"</t>
  </si>
  <si>
    <t>buah</t>
  </si>
  <si>
    <t xml:space="preserve">  - Bongkar pasang Flange Spigot Ø 300 mm (k. malam)</t>
  </si>
  <si>
    <t xml:space="preserve">  - Bongkar pasang collar Ø 300 mm (k. malam)</t>
  </si>
  <si>
    <t xml:space="preserve">  - Pengaturan valve - valve (k. malam)</t>
  </si>
  <si>
    <t>lot</t>
  </si>
  <si>
    <t>Peralatan Bantu Kerja Lainnya</t>
  </si>
  <si>
    <t xml:space="preserve">  - Lampu penerangan</t>
  </si>
  <si>
    <t xml:space="preserve">  - Sewa pompa</t>
  </si>
  <si>
    <t xml:space="preserve">  - Biaya transportasi pengangkatan magnetic flow </t>
  </si>
  <si>
    <t xml:space="preserve">     dan penyimpanan ke gudang</t>
  </si>
  <si>
    <t>PENGGANTIAN MAGNETIC FLOW Ø 300 mm</t>
  </si>
  <si>
    <t>Lokasi : Booster Pump Sei Agul</t>
  </si>
  <si>
    <t>- Install alat instrumen/setting dan kalibrasi ( ls )</t>
  </si>
  <si>
    <t xml:space="preserve">   analisa hitung disetarakan bongkar pasang gate valve </t>
  </si>
  <si>
    <t xml:space="preserve">   Ø 300 mm</t>
  </si>
  <si>
    <t>- Bongkar pasang Magnetic Flow Ø 300 mm  1 unit (k. Malam)</t>
  </si>
  <si>
    <t>- Bongkar pasang collar Ø 300 mm (tabel) kerja malam</t>
  </si>
  <si>
    <t>- Bongkar pasang Flange Spigot Ø 300 mm (tabel) kerja malam</t>
  </si>
  <si>
    <t>- Pengaturan valve - valve 1 lot</t>
  </si>
  <si>
    <t>- Penerangan 1 lot (ls)</t>
  </si>
  <si>
    <t>- Sewa pompa 1 unit (ls)</t>
  </si>
  <si>
    <t>Disetujui oleh :</t>
  </si>
  <si>
    <t>Medan,      April 2013</t>
  </si>
  <si>
    <t xml:space="preserve">   - Butterfly Valve Ø 250 mm merk Kizt type wafer</t>
  </si>
  <si>
    <t xml:space="preserve">   - Bolt and Nut Ø 3/4 x 3"</t>
  </si>
  <si>
    <t xml:space="preserve">   - Rubber Packing 3 mm</t>
  </si>
  <si>
    <t>meter</t>
  </si>
  <si>
    <t xml:space="preserve">  - Bongkar pasang Spoel Piece (k. malam)</t>
  </si>
  <si>
    <t xml:space="preserve">  - Pengelasan pipa bagian luar dan dalam</t>
  </si>
  <si>
    <t xml:space="preserve">  - Pemotongan pipa (k. malam)</t>
  </si>
  <si>
    <t xml:space="preserve">  - Pemasangan Butterfly Valve Ø 250 mm (k. malam)</t>
  </si>
  <si>
    <t xml:space="preserve">  - Bongkar pasang Check Valve Ø 250 mm</t>
  </si>
  <si>
    <t xml:space="preserve">   - Besi Holo 30/30</t>
  </si>
  <si>
    <t>btg</t>
  </si>
  <si>
    <t xml:space="preserve">   - Atap seng MultiRoof</t>
  </si>
  <si>
    <t xml:space="preserve">   - Pemotongan besi</t>
  </si>
  <si>
    <t xml:space="preserve">   - Pengelasan besi</t>
  </si>
  <si>
    <t xml:space="preserve">   - Cat kilat</t>
  </si>
  <si>
    <t xml:space="preserve">   - Kawat Las</t>
  </si>
  <si>
    <t xml:space="preserve">   - Penyetelan</t>
  </si>
  <si>
    <t>Kotak</t>
  </si>
  <si>
    <t>Terbilang : Tiga juta tiga ratus tujuh puluh dua ribu rupiah</t>
  </si>
  <si>
    <t>PEMASANGAN BUTTERFLY VALVE Ø 250 MM POMPA NO.1</t>
  </si>
  <si>
    <t>POMPA NO.2 DAN 3</t>
  </si>
  <si>
    <t xml:space="preserve">  - Pembuatan (tempa) shaft Butterfly Valve Ø 400 mm</t>
  </si>
  <si>
    <t xml:space="preserve">     uk : 30 x 80 mm</t>
  </si>
  <si>
    <t xml:space="preserve">     material : Stainless Steel SUS 316</t>
  </si>
  <si>
    <t xml:space="preserve">    Ø 400 mm x 40 x 8 mm</t>
  </si>
  <si>
    <t xml:space="preserve">    material : Bronze</t>
  </si>
  <si>
    <t xml:space="preserve">  - Rekondisi Disk Butterfly Ø 400 mm </t>
  </si>
  <si>
    <t xml:space="preserve">     tempa rubber disk Butterfly</t>
  </si>
  <si>
    <t xml:space="preserve">  - Rekondisi GearBox Butterfly</t>
  </si>
  <si>
    <t xml:space="preserve">  - Bongkar pasang Butterfly Valve Ø 400 mm (k. malam)</t>
  </si>
  <si>
    <t xml:space="preserve">  - Bongkar pasang Dismentling joint Ø 400 mm (k. malam)</t>
  </si>
  <si>
    <t xml:space="preserve">  - Pembuatan (tempa) Ring Houshing Butterfly Valve </t>
  </si>
  <si>
    <t xml:space="preserve">  - Bongkar pasang magnetic flow Ø 300 mm (k. malam)</t>
  </si>
  <si>
    <t xml:space="preserve">  - Kalibrasi Magnetic Flowmeter Ø 300 mm</t>
  </si>
  <si>
    <t>Delapan juta lima ratus dua puluh empat ribu lima ratus rupiah</t>
  </si>
  <si>
    <t>Medan,      Mei 2013</t>
  </si>
  <si>
    <t>PEMBUATAN TEMPAT PENYIMPAN SODIUM DAN</t>
  </si>
  <si>
    <t>PEMASANGAN POMPA DOSHING</t>
  </si>
  <si>
    <t>LOKASI: BP. GAVERTA DAN BP. SEJARAH</t>
  </si>
  <si>
    <t xml:space="preserve">      Pressure max 4,2 Kg/Cm2</t>
  </si>
  <si>
    <t xml:space="preserve">   -  Pompa Doshing kapasitas 10 l/h</t>
  </si>
  <si>
    <t xml:space="preserve">      Power 1/60 Hp /220 V / 50 Hz</t>
  </si>
  <si>
    <t xml:space="preserve">      Model 150-068  Chem Tech</t>
  </si>
  <si>
    <r>
      <t xml:space="preserve">   - Pipa PVC Ø </t>
    </r>
    <r>
      <rPr>
        <sz val="12"/>
        <rFont val="Calibri"/>
        <family val="2"/>
      </rPr>
      <t>½</t>
    </r>
    <r>
      <rPr>
        <sz val="12"/>
        <rFont val="Calibri"/>
        <family val="2"/>
      </rPr>
      <t>"</t>
    </r>
  </si>
  <si>
    <r>
      <t xml:space="preserve">   - Elbow PVC Ø ½</t>
    </r>
    <r>
      <rPr>
        <sz val="12"/>
        <rFont val="Calibri"/>
        <family val="2"/>
      </rPr>
      <t>"</t>
    </r>
  </si>
  <si>
    <t xml:space="preserve">   - Lem PVC</t>
  </si>
  <si>
    <t xml:space="preserve">   - Stop Kontak Uticom</t>
  </si>
  <si>
    <t xml:space="preserve">   - Panel Box Uk : 40 x 40 x 60 Cm</t>
  </si>
  <si>
    <t>tube</t>
  </si>
  <si>
    <t xml:space="preserve">   - Breacker 1 phole 16 A</t>
  </si>
  <si>
    <t xml:space="preserve">  1. Pembuatan ruangan penyimpanan sodium </t>
  </si>
  <si>
    <t xml:space="preserve">  2. Pembuatan lantai ruangan sodium untuk 2 lokasi</t>
  </si>
  <si>
    <t xml:space="preserve">       uk : 200 x 300 cm (sesuai gambar)</t>
  </si>
  <si>
    <t xml:space="preserve">        - Pembersihan lokasi</t>
  </si>
  <si>
    <t xml:space="preserve">        - Pemasangan batu bata 1 : 2</t>
  </si>
  <si>
    <t xml:space="preserve">        - Plester batu bata 1 : 2 tebal 10 mm</t>
  </si>
  <si>
    <t xml:space="preserve">        - Pasir timbun</t>
  </si>
  <si>
    <t xml:space="preserve">        - Pengangkatan dan pemadatan pasir timbun</t>
  </si>
  <si>
    <t xml:space="preserve">        - Pemasangan lantai keramik Uk : 20 x 30</t>
  </si>
  <si>
    <t xml:space="preserve">        - Pemasangan Pompa doshing, pemasangan istalasi </t>
  </si>
  <si>
    <t xml:space="preserve">          kabel, connect kabel incoming</t>
  </si>
  <si>
    <t>tempat</t>
  </si>
  <si>
    <t>m2</t>
  </si>
  <si>
    <t>m3</t>
  </si>
  <si>
    <t>G.33.a</t>
  </si>
  <si>
    <t>G.47.a</t>
  </si>
  <si>
    <t>G.72.c</t>
  </si>
  <si>
    <t>Terbilang : Enam Juta Seratus Delapan Puluh Tiga Ribu Tujuh Ratus Rupiah</t>
  </si>
  <si>
    <t xml:space="preserve">   - Kabel NYY serabut Uk : 1 x 0,75 mm² @ 50 meter</t>
  </si>
  <si>
    <t xml:space="preserve">   - Bracket</t>
  </si>
  <si>
    <t xml:space="preserve">   - Chock Uticom</t>
  </si>
  <si>
    <t>DAFTAR MATERIAL YANG DIMINTA</t>
  </si>
  <si>
    <t>VOLUME</t>
  </si>
  <si>
    <t>SATUAN</t>
  </si>
  <si>
    <t>Magnetic Flow</t>
  </si>
  <si>
    <t>- Magnetic Flow MAG 5100 W Complete +</t>
  </si>
  <si>
    <t xml:space="preserve">   Transmitter 7NE6920-1AA10-1AA0 +</t>
  </si>
  <si>
    <t xml:space="preserve">  100 m cabel coil 3 x 0,75 mm +</t>
  </si>
  <si>
    <t xml:space="preserve">  </t>
  </si>
  <si>
    <t xml:space="preserve">  Include pemasangan dan commisioning test</t>
  </si>
  <si>
    <t>Elbow PVC Ø 3/4"</t>
  </si>
  <si>
    <t>Pipa Galvanis Ø 3/4"</t>
  </si>
  <si>
    <t xml:space="preserve">Pipa PVC  Ø 3/4" </t>
  </si>
  <si>
    <t>Karet Collar Ø 500 mm</t>
  </si>
  <si>
    <t>Mur baut Ø 3/4 x 4 "</t>
  </si>
  <si>
    <t>Rubber Packing 3 mm</t>
  </si>
  <si>
    <t>Lokasi         : Booster Pump Martubung</t>
  </si>
  <si>
    <t>Pekerjaan : Pemasangan Magnetic Flow</t>
  </si>
  <si>
    <t xml:space="preserve">                        Ø 500 mm</t>
  </si>
  <si>
    <t>Medan,        Mei 2013</t>
  </si>
  <si>
    <t>Mengetahui :</t>
  </si>
  <si>
    <t>Kadiv. Operasi Zona I</t>
  </si>
  <si>
    <t xml:space="preserve">  100 m kabel electroda 2 x 0,75 mm </t>
  </si>
  <si>
    <t xml:space="preserve">  USM Potting Kit FDK-085U0220 +</t>
  </si>
  <si>
    <t xml:space="preserve">  Wall Mounting FDK:085U1018 +</t>
  </si>
  <si>
    <t xml:space="preserve">BREAKDOWN BIAYA PEMASANGAN </t>
  </si>
  <si>
    <t>MAGNETIC FLOW Ø 500 MM</t>
  </si>
  <si>
    <t>- Bongkar magnetic flow lama (k.malam)</t>
  </si>
  <si>
    <t>- Bongkar pasang collar Ø 500 mm (k.malam)</t>
  </si>
  <si>
    <t xml:space="preserve">   dan commusioning test (k.malam)</t>
  </si>
  <si>
    <t xml:space="preserve">- Pemasangan magnetic flow Ø 500 mm </t>
  </si>
  <si>
    <t>- Sewa crane</t>
  </si>
  <si>
    <t xml:space="preserve">   kedalaman 30 cm</t>
  </si>
  <si>
    <t xml:space="preserve">   kedalaman 40 cm</t>
  </si>
  <si>
    <t>- Bobok dinding beton</t>
  </si>
  <si>
    <t xml:space="preserve">- Gali timbun untuk jalur kabel posisi berm </t>
  </si>
  <si>
    <t>- Gali timbun untuk jalur kabel posisi aspal</t>
  </si>
  <si>
    <t xml:space="preserve">              Jumlah biaya pelaksanaan</t>
  </si>
  <si>
    <t>Sembilan Juta Tujuh Puluh Satu Ribu Empat Ratus Rupiah</t>
  </si>
  <si>
    <t xml:space="preserve">- Bongkar pasang flange spigot Ø 500 mm </t>
  </si>
  <si>
    <t xml:space="preserve">   (k.malam)</t>
  </si>
  <si>
    <t>PEMASANGAN MAGNETIC FLOW Ø 500 MM</t>
  </si>
  <si>
    <t>LOKASI: BP. MARTUBUNG</t>
  </si>
  <si>
    <t>- Sewa lampu</t>
  </si>
  <si>
    <t>- Sewa pompa Ø 2"</t>
  </si>
  <si>
    <t>- Penyetelan valve air masuk/bypass/wo</t>
  </si>
  <si>
    <t>Medan,      Juni 2013</t>
  </si>
  <si>
    <t xml:space="preserve">   100 m cable kit with standard coil cable, 3 x 1,5 mm2/18 gage with</t>
  </si>
  <si>
    <t xml:space="preserve">   shield PVC dan 100 m eletroda cable double shielded, 3 x 0,25 mm2</t>
  </si>
  <si>
    <t xml:space="preserve">   USM Potting Kit FDK-085U0220 +</t>
  </si>
  <si>
    <t xml:space="preserve">   with Display, 115-230 AC 50/60 Hz System +</t>
  </si>
  <si>
    <t xml:space="preserve">   Transmitter MAG 6000, IP67/NEMA 4X/6, Polymid enclosure,</t>
  </si>
  <si>
    <t xml:space="preserve">- Pipa PVC  Ø 3/4" </t>
  </si>
  <si>
    <t>- Elbow PVC Ø 3/4"</t>
  </si>
  <si>
    <t>- Pipa Galvanis Ø 3/4"</t>
  </si>
  <si>
    <t>- Karet Collar Ø 600 mm</t>
  </si>
  <si>
    <t>- Mur baut Ø 3/4 x 4 "</t>
  </si>
  <si>
    <t>- Rubber Packing 3 mm</t>
  </si>
  <si>
    <t>- Magnetic Flow 7ME6580-6FJ14-2JA1</t>
  </si>
  <si>
    <t xml:space="preserve">   Wall Mounting FDK:085U1018 +</t>
  </si>
  <si>
    <t xml:space="preserve">   SITRANS F M MAG 5100 W (non-EU water markets) +</t>
  </si>
  <si>
    <t xml:space="preserve">                                                                               PERBAIKAN/PEMASANGAN BUTTERFLY VALVE Ø 400 MM</t>
  </si>
  <si>
    <t xml:space="preserve">  RENCANA ANGGARAN BIAYA PEKERJAAN</t>
  </si>
  <si>
    <t>PEMBUATAN RUANG DOSHING</t>
  </si>
  <si>
    <t>Lokasi : Booster Pump Gaverta dan Sejarah</t>
  </si>
  <si>
    <t>Luas atap dan dinding rumah sodium untuk 1 unit</t>
  </si>
  <si>
    <t>- Bagian atas (atap)</t>
  </si>
  <si>
    <t xml:space="preserve">   Kerangka besi Hollow 30 x 30 mm</t>
  </si>
  <si>
    <t xml:space="preserve">   Atap fiber merk Twin Light</t>
  </si>
  <si>
    <t>300  cm x 400  cm</t>
  </si>
  <si>
    <t>12 m2</t>
  </si>
  <si>
    <t>- Dinding Bagian Samping</t>
  </si>
  <si>
    <t xml:space="preserve">   Dinding fiber merk Twin Light</t>
  </si>
  <si>
    <t>200 cm x 225 cm</t>
  </si>
  <si>
    <t>4,5 m2 x 2</t>
  </si>
  <si>
    <t>9 m2</t>
  </si>
  <si>
    <t>- Dinding Bagian Belakang</t>
  </si>
  <si>
    <t>300 cm x 225 cm</t>
  </si>
  <si>
    <t>6,75 m2</t>
  </si>
  <si>
    <t>27,75 m2</t>
  </si>
  <si>
    <t xml:space="preserve">Jumlah luas ruang sodium 1 unit   </t>
  </si>
  <si>
    <t xml:space="preserve">Harga/m2   </t>
  </si>
  <si>
    <t xml:space="preserve">Total biaya 1 unit   </t>
  </si>
  <si>
    <t>27,75 m2 x Rp. 444.325</t>
  </si>
  <si>
    <t xml:space="preserve">Dibulatkan   </t>
  </si>
  <si>
    <t>BREAK DOWN ITEM No. 1</t>
  </si>
  <si>
    <t>Terbilang : Sembilan Belas Juta Seratus Lima Puluh Satu Ribu Empat Ratus Rupiah</t>
  </si>
  <si>
    <t xml:space="preserve">  (termasuk commisioning,testing dan training for operation)</t>
  </si>
  <si>
    <t xml:space="preserve">- Bongkar/pasang magnetic flow Ø 500 mm </t>
  </si>
  <si>
    <t>Medan,      Juli 2013</t>
  </si>
  <si>
    <t>Terbilang : Seratus enam belas juta tujuh ratus sembilan puluh enam ribu rupiah</t>
  </si>
  <si>
    <t>REALISASI BIAYA PEKERJAAN EMERGENCY</t>
  </si>
  <si>
    <t>LOKASI: BOOSTER PUMP GARU I</t>
  </si>
  <si>
    <t>- Bearing No.6201 Merk : TNT</t>
  </si>
  <si>
    <t>1. Pembuatan (tempa) Worm Shaft Gear Box Butterfly Valve Ø 500 mm</t>
  </si>
  <si>
    <t xml:space="preserve">     Uk : 170 x 35 mm</t>
  </si>
  <si>
    <t xml:space="preserve">     Material : SUS 316</t>
  </si>
  <si>
    <t>2. Pembuatan (tempa) Worm Gear, Gear Box Butterfly Valve Ø 500 mm</t>
  </si>
  <si>
    <t xml:space="preserve">     Uk : 98 x 50 mm</t>
  </si>
  <si>
    <t xml:space="preserve">     Material : Baja TPMS 278</t>
  </si>
  <si>
    <t>3. Bongkar pasang Worm Shaft</t>
  </si>
  <si>
    <t>4. Bongkar pasang Worm Gear</t>
  </si>
  <si>
    <t>5. Pengurasan bak Butterfly Valve dengan pompa</t>
  </si>
  <si>
    <t xml:space="preserve">     Z : 28</t>
  </si>
  <si>
    <t>PERBAIKAN GEAR BOX BUTTERFLY VALVE Ø 500 mm</t>
  </si>
  <si>
    <t xml:space="preserve">RENCANA ANGGARAN BIAYA PEKERJAAN </t>
  </si>
  <si>
    <t>PERBAIKAN/PENUTUPAN KACA MONITORING</t>
  </si>
  <si>
    <t>- Plat steel Uk : 1200 x 2400 mm   tebal : 3,2 mm</t>
  </si>
  <si>
    <t>- DynaBolt 1/2 inchi</t>
  </si>
  <si>
    <t>lembar</t>
  </si>
  <si>
    <t>- Triplek 5 mm Uk : 120 x 240 cm</t>
  </si>
  <si>
    <t>- Pahat dinding lobang kaca monitor</t>
  </si>
  <si>
    <t>- Pengeboran/pemasangan Dynabolt ke dinding reservoir</t>
  </si>
  <si>
    <t>- Pemotongan plat pelapis</t>
  </si>
  <si>
    <t>- Pengecoran beton bertulang 1 : 2 : 3</t>
  </si>
  <si>
    <t>RINCIAN UPAH PEKERJAAN</t>
  </si>
  <si>
    <t>Lokasi : Booster Pump Garu I</t>
  </si>
  <si>
    <t>Pahat dinding lobang kaca monitor</t>
  </si>
  <si>
    <t xml:space="preserve">                                                                                 Gambar A dengan D</t>
  </si>
  <si>
    <t xml:space="preserve">                                                                                 Gambar B dengan E</t>
  </si>
  <si>
    <t xml:space="preserve">                                                                                 Gambar C dengan F</t>
  </si>
  <si>
    <t xml:space="preserve">                                                                                 Jumlah biaya</t>
  </si>
  <si>
    <t>Pengeboran/pemasangan Dynabolt ke dinding reservoir</t>
  </si>
  <si>
    <t>- Pengeboran dinding reservoir K300 dengan handrill</t>
  </si>
  <si>
    <t xml:space="preserve">   mechine/lobang</t>
  </si>
  <si>
    <t>Rp. 150.000</t>
  </si>
  <si>
    <t>Rp.   50.000</t>
  </si>
  <si>
    <t>Rp. 15.000</t>
  </si>
  <si>
    <t>Rp.    3.000</t>
  </si>
  <si>
    <t>Rp.  12.000</t>
  </si>
  <si>
    <t>Pemotongan plat pelapis</t>
  </si>
  <si>
    <t>Uk : 78 x 84  = 3 buah</t>
  </si>
  <si>
    <t xml:space="preserve">         78 x 40  = 3 buah</t>
  </si>
  <si>
    <t>- Pemotongan plat sepanjang 78 cm 3 tempat</t>
  </si>
  <si>
    <t>- Pemotongan plat sepanjang 120 cm 1 tempat</t>
  </si>
  <si>
    <t xml:space="preserve"> 1 x 120 cm </t>
  </si>
  <si>
    <t>= 120 cm</t>
  </si>
  <si>
    <t>= 234 cm</t>
  </si>
  <si>
    <t>- Pemotongan plat sepanjang 42 cm 1 tempat</t>
  </si>
  <si>
    <t xml:space="preserve"> 3 x   78 cm  </t>
  </si>
  <si>
    <t xml:space="preserve">- Pemahatan dinding K300 untuk perekat pengecoran </t>
  </si>
  <si>
    <t>- Pemasangan dan penyetelan Dynabolt  ½"/buah</t>
  </si>
  <si>
    <t xml:space="preserve"> 1 x   164 cm  </t>
  </si>
  <si>
    <t>= 164 cm</t>
  </si>
  <si>
    <t>= 518 cm</t>
  </si>
  <si>
    <t>= 5,18 m</t>
  </si>
  <si>
    <t xml:space="preserve">   membutuhkan waktu 1 hari untuk 1 orang pekerja</t>
  </si>
  <si>
    <t>Medan,      September 2013</t>
  </si>
  <si>
    <t>Muhri Fepri Iswanto,ST</t>
  </si>
  <si>
    <t>Medan,      Oktober 2013</t>
  </si>
  <si>
    <t>PERBAIKAN BUTTERFLY VALVE Ø 250 MM PIPA DISCHARGE</t>
  </si>
  <si>
    <t xml:space="preserve">                                                              RENCANA ANGGARAN BIAYA PEKERJAAN </t>
  </si>
  <si>
    <t xml:space="preserve">                        LOKASI: BOOSTER PUMP TUASAN</t>
  </si>
  <si>
    <t>- Butterfly Valve</t>
  </si>
  <si>
    <t>- Rubber Packing</t>
  </si>
  <si>
    <t>stock gudang</t>
  </si>
  <si>
    <t>- Bongkar Butterfly Valve Ø 250 mm (kerja malam)</t>
  </si>
  <si>
    <t>- Bongkar Check Valve Ø 250 mm (kerja malam)</t>
  </si>
  <si>
    <t>- Pemasangan Butterfly Valve Ø 250 mm (kerja malam)</t>
  </si>
  <si>
    <t>- Pemasangan Check Valve Ø 250 mm (kerja malam)</t>
  </si>
  <si>
    <t>- Pengaturan Valve-valve disekitar reservoir</t>
  </si>
  <si>
    <t>Ir. Zulkifli Lubis,MT</t>
  </si>
  <si>
    <t>Medan,   November 2013</t>
  </si>
  <si>
    <t>Medan,      Desember 2013</t>
  </si>
  <si>
    <t>Terbilang :</t>
  </si>
  <si>
    <t>Ppn 10%</t>
  </si>
  <si>
    <t xml:space="preserve">                                                          PENGGANTIAN BUTTERFLY VALVE POMPA NO.1</t>
  </si>
  <si>
    <t xml:space="preserve">                                                          RENCANA ANGGARAN BIAYA PEKERJAAN</t>
  </si>
  <si>
    <t>Rekondisi</t>
  </si>
  <si>
    <t>BREAKDOWN BIAYA PENGGANTI</t>
  </si>
  <si>
    <t>Biaya</t>
  </si>
  <si>
    <t>- Penutupan/pengecoran lobang bor</t>
  </si>
  <si>
    <t>- Biaya transportasi</t>
  </si>
  <si>
    <t>- Uang makan</t>
  </si>
  <si>
    <t>Rp.   53.375,15</t>
  </si>
  <si>
    <t>Rp.     6.500</t>
  </si>
  <si>
    <t>Rp.   15.000</t>
  </si>
  <si>
    <t>Total Biaya</t>
  </si>
  <si>
    <t>Rp.  74.875,15</t>
  </si>
  <si>
    <t>Rp.  75.000</t>
  </si>
  <si>
    <t>PEMUTUSAN TUNGGAKAN REKENING AIR</t>
  </si>
  <si>
    <t xml:space="preserve">   - Kabel NYY serabut Uk : 2 x 1,5 mm² </t>
  </si>
  <si>
    <t xml:space="preserve">   - Panel Box Uk : 25 x 20 x 10 Cm</t>
  </si>
  <si>
    <t xml:space="preserve">        - Gali pipa untuk kabel kedalaman 20 cm</t>
  </si>
  <si>
    <t xml:space="preserve">        - Pemasangan kabel 2 x 1,5 mm</t>
  </si>
  <si>
    <t xml:space="preserve">        - Pemasangan panel box</t>
  </si>
  <si>
    <t xml:space="preserve">        - Pemasangan pipa PVC Ø ½"</t>
  </si>
  <si>
    <t xml:space="preserve">        - Connect kabel incoming dan out going</t>
  </si>
  <si>
    <t xml:space="preserve">        - Pemasangan bracket pompa doshing</t>
  </si>
  <si>
    <t xml:space="preserve">        - Bobok dinding</t>
  </si>
  <si>
    <t>LOKASI : BOOSTER PUMP MARTUBUNG</t>
  </si>
  <si>
    <t>14 Feb 2014</t>
  </si>
  <si>
    <t>09,00 - 16,00</t>
  </si>
  <si>
    <t xml:space="preserve">     kelengkapan peralatan</t>
  </si>
  <si>
    <t xml:space="preserve">     - Pemasangan lampu penerangan</t>
  </si>
  <si>
    <t xml:space="preserve">     - Pemasangan pompa pengering</t>
  </si>
  <si>
    <t xml:space="preserve">     - Membawa Magnetic Flow Ø 500 mm/</t>
  </si>
  <si>
    <t xml:space="preserve">        Acessories</t>
  </si>
  <si>
    <t xml:space="preserve">     - Dll</t>
  </si>
  <si>
    <t xml:space="preserve">     - Koordinasi IPA Limau Manis untuk </t>
  </si>
  <si>
    <t xml:space="preserve">        pengurangan pompa</t>
  </si>
  <si>
    <t xml:space="preserve">     - Penutupan Valve pipa transmisi jalur </t>
  </si>
  <si>
    <t>20,00 - 21,00</t>
  </si>
  <si>
    <t xml:space="preserve">        Cemara</t>
  </si>
  <si>
    <t xml:space="preserve">        Martubung, Air diarahkan ke Booster</t>
  </si>
  <si>
    <t xml:space="preserve">     - Membuka WO di jembatan Mangaan VII </t>
  </si>
  <si>
    <t>21,00 - 24,00</t>
  </si>
  <si>
    <t>24,00 - 03,00</t>
  </si>
  <si>
    <t xml:space="preserve">     - Pemasangan Magnetic flow dan</t>
  </si>
  <si>
    <t>03,00 - 04,00</t>
  </si>
  <si>
    <t xml:space="preserve">     - Pengaturan /pengoperasian kembali </t>
  </si>
  <si>
    <t xml:space="preserve">        Valve-valve</t>
  </si>
  <si>
    <t>04,00 - 05,00</t>
  </si>
  <si>
    <t xml:space="preserve">     - Pengisian Reservoir</t>
  </si>
  <si>
    <t>05,00</t>
  </si>
  <si>
    <t xml:space="preserve">     - Pengoperasian pompa Booster sesuai</t>
  </si>
  <si>
    <t xml:space="preserve">        jadwal</t>
  </si>
  <si>
    <t>1 lot</t>
  </si>
  <si>
    <t>3 unit</t>
  </si>
  <si>
    <t>1 set</t>
  </si>
  <si>
    <t>1 buah</t>
  </si>
  <si>
    <t>2 unit</t>
  </si>
  <si>
    <t>LOKASI</t>
  </si>
  <si>
    <t>BP. Martubung</t>
  </si>
  <si>
    <t>BP. Cemara</t>
  </si>
  <si>
    <t xml:space="preserve">Jembatan Mangaan </t>
  </si>
  <si>
    <t>Hafiz, Abdi Hakim</t>
  </si>
  <si>
    <t>Pihak Ke III</t>
  </si>
  <si>
    <t>Operator</t>
  </si>
  <si>
    <t>Ir. Suparman,         Abdul Rahim, Zulhadi, Zulham Akbar</t>
  </si>
  <si>
    <t>Medan,   Maret 2014</t>
  </si>
  <si>
    <t xml:space="preserve">        - Pemasangan pompa doshing dan penyetelan</t>
  </si>
  <si>
    <t xml:space="preserve">   - Pipa PVC Invilon Ø ½"</t>
  </si>
  <si>
    <t xml:space="preserve">   - Elbow PVC Ø ½"</t>
  </si>
  <si>
    <t>BREAKDOWN</t>
  </si>
  <si>
    <t>PEMBUATAN RUANGAN PENYIMPANAN SODIUM</t>
  </si>
  <si>
    <t>Lokasi : Booster Pump Gaverta dan Booster Pump Sejarah</t>
  </si>
  <si>
    <t>1. Besi Hollow Uk: 40 x 40  t: 2 mm</t>
  </si>
  <si>
    <t>Rp.   2.959.000</t>
  </si>
  <si>
    <t>6 lembar x Rp. 181.000</t>
  </si>
  <si>
    <t>22 btg @ 5,8 m x Rp. 134.000</t>
  </si>
  <si>
    <t>Rp. 1.086.000</t>
  </si>
  <si>
    <t>3. Fiber Twinlight Uk: 208 cm x 700 cm</t>
  </si>
  <si>
    <t>2. Seng MegaDeck Uk: 85 cm x 300 cm + lengkungan</t>
  </si>
  <si>
    <t>1 lembar x Rp. 2.068.000</t>
  </si>
  <si>
    <t>Rp. 2.068.000</t>
  </si>
  <si>
    <t>Pelaksanaan</t>
  </si>
  <si>
    <t>1. Pengelasan kerangka las penuh tebal 1,5 mm</t>
  </si>
  <si>
    <r>
      <t xml:space="preserve">21 m x </t>
    </r>
    <r>
      <rPr>
        <u/>
        <sz val="11"/>
        <color indexed="8"/>
        <rFont val="Calibri"/>
        <family val="2"/>
      </rPr>
      <t>Rp. 185.147,43 (tabel)</t>
    </r>
  </si>
  <si>
    <t>21 m x Rp. 92.573,715</t>
  </si>
  <si>
    <t>Rp. 1.944.048</t>
  </si>
  <si>
    <t>2. Pemotongan besi untuk kerangka</t>
  </si>
  <si>
    <t>1 unit x Rp. 700.000 (ls)</t>
  </si>
  <si>
    <t>Rp. 700.000</t>
  </si>
  <si>
    <t>3. Pemasangan seng Megadeck</t>
  </si>
  <si>
    <t>1 unit x Rp. 350.000 (ls)</t>
  </si>
  <si>
    <t>Rp. 350.000</t>
  </si>
  <si>
    <t>4. Pemasangan dinding fiber Twinlight</t>
  </si>
  <si>
    <t>Rp. 400.000</t>
  </si>
  <si>
    <t>1 unit x Rp. 400.000 (ls)</t>
  </si>
  <si>
    <t>Rp. 6.113.000</t>
  </si>
  <si>
    <r>
      <t xml:space="preserve">Dibulatkan   = </t>
    </r>
    <r>
      <rPr>
        <b/>
        <sz val="11"/>
        <color indexed="8"/>
        <rFont val="Calibri"/>
        <family val="2"/>
      </rPr>
      <t>Rp. 9.500.000</t>
    </r>
  </si>
  <si>
    <t xml:space="preserve">                         = Rp. 9.507.048</t>
  </si>
  <si>
    <t xml:space="preserve">                         = Rp. 6.113.000 + Rp. 3.394.048</t>
  </si>
  <si>
    <t>Total               = material + biaya pelaksanaan</t>
  </si>
  <si>
    <t>Pipa dan Accesories</t>
  </si>
  <si>
    <t xml:space="preserve">       - Pipa PVC Ø 4"</t>
  </si>
  <si>
    <t xml:space="preserve">       - Pipa PVC Ø 6"</t>
  </si>
  <si>
    <t xml:space="preserve">       - Elbow PVC Ø 4"</t>
  </si>
  <si>
    <t xml:space="preserve">       - Elbow PVC Ø 6"</t>
  </si>
  <si>
    <t xml:space="preserve">       - Flange Sock PVC Ø 4"</t>
  </si>
  <si>
    <t xml:space="preserve">       - Flange Sock PVC Ø 6"</t>
  </si>
  <si>
    <t xml:space="preserve">       - Papan penggaruk lumpur Uk: 150 cm x 20 cm x 200 cm</t>
  </si>
  <si>
    <t>1. Pemasangan pompa/accesories dan alat bantu kerja.</t>
  </si>
  <si>
    <t xml:space="preserve">       - Penerangan reservoir 2 hari</t>
  </si>
  <si>
    <t xml:space="preserve">       - Mobilisasi pipa dan accesories</t>
  </si>
  <si>
    <t xml:space="preserve">       - Bongkar pasang pompa 4"/ pipa dan accesories</t>
  </si>
  <si>
    <t xml:space="preserve">       - Bongkar pasang pompa 6"/ pipa dan accesories</t>
  </si>
  <si>
    <t xml:space="preserve">       - Sewa pompa 4" selama 2 hari</t>
  </si>
  <si>
    <t xml:space="preserve">       - Sewa pompa 6" selama 2 hari</t>
  </si>
  <si>
    <t>2. Pengurasan/Pencucian Reservoir I Uk: 70 m x 8,5 m x 3,5 m</t>
  </si>
  <si>
    <t xml:space="preserve">       - Pengurasan Reservoir tebal 20 cm (kerja malam)</t>
  </si>
  <si>
    <t xml:space="preserve">       - Penyikatan dinding dan tiang Reservoir (kerja malam)</t>
  </si>
  <si>
    <t xml:space="preserve">       - Penyikatan lantai Reservoir (kerja malam)</t>
  </si>
  <si>
    <t xml:space="preserve">       - Pengangkatan pasir/lumpur Reservoir 12 cm (kerja malam)</t>
  </si>
  <si>
    <t>3. Pengurasan/Pencucian Reservoir II Uk: 61 m x 18 m x 3,5 m</t>
  </si>
  <si>
    <t xml:space="preserve">       - Pengurasan Reservoir tebal 30 cm (kerja malam)</t>
  </si>
  <si>
    <t xml:space="preserve">       - Pengangkatan pasir/lumpur Reservoir 23 cm (kerja malam)</t>
  </si>
  <si>
    <t>4. Pembersihan saluran parit disekitar lokasi</t>
  </si>
  <si>
    <t xml:space="preserve">                                                                PEMBUATAN PENCUCIAN RESERVOIR</t>
  </si>
  <si>
    <t xml:space="preserve">                                                                                      LOKASI: BOOSTER PUMP SEI AGUL</t>
  </si>
  <si>
    <t>Medan,   April 2014</t>
  </si>
  <si>
    <t xml:space="preserve">       - Perancah tiang katrol</t>
  </si>
  <si>
    <t xml:space="preserve">                                                                   PERBAIKAN BUTTERFLY VALVE Ø 300 MM</t>
  </si>
  <si>
    <t xml:space="preserve">                                                                                         LOKASI: BOOSTER PUMP PASAR IV PADANG BULAN</t>
  </si>
  <si>
    <t xml:space="preserve">       - Rubber packing 3 mm</t>
  </si>
  <si>
    <t xml:space="preserve">       - Pembuatan (tempa)Shaft Butterfly Valve Ø 300 mm</t>
  </si>
  <si>
    <t xml:space="preserve">       - Pembuatan Pen Shaft</t>
  </si>
  <si>
    <t xml:space="preserve">         Uk : 80 x 12 mm Material : SUS 308</t>
  </si>
  <si>
    <t xml:space="preserve">         Uk : 350 mm x 35 mm  Material : SUS 308</t>
  </si>
  <si>
    <t xml:space="preserve">       - Bongkar pasang Shaft/GearBox Butterfly Valve Ø 300 mm</t>
  </si>
  <si>
    <t xml:space="preserve">       - Bongkar pasang Butterfly Valve Ø 300 mm (kerja malam)</t>
  </si>
  <si>
    <t xml:space="preserve">       - Bongkar pasang Dismentling Joint</t>
  </si>
  <si>
    <t xml:space="preserve">       - Pengaturan valve air masuk dijalur pipa transmisi</t>
  </si>
  <si>
    <t xml:space="preserve">       - Double Air Valve Ø 4" Merk YONE</t>
  </si>
  <si>
    <t xml:space="preserve">       - Reducer  4 x 2,5" steel</t>
  </si>
  <si>
    <t xml:space="preserve">       - Bolt And Nut 5/8 x 2"</t>
  </si>
  <si>
    <t xml:space="preserve">       - Rubber packing 5 mm</t>
  </si>
  <si>
    <t xml:space="preserve">       - Pipa Ø 4" tebal: 4,8 mm Steel</t>
  </si>
  <si>
    <t xml:space="preserve">       - Pemasangan Double Air Valve Ø 4"</t>
  </si>
  <si>
    <t xml:space="preserve">       - Pembobokan dinding dan perbaikan kembali</t>
  </si>
  <si>
    <t xml:space="preserve">       - Pengelasan pipa dan acessories</t>
  </si>
  <si>
    <t xml:space="preserve">       - Commisioning Test</t>
  </si>
  <si>
    <t>Medan,     Mei 2014</t>
  </si>
  <si>
    <t>PEMASANGAN AIR VALVE Ø 4"</t>
  </si>
  <si>
    <t>POMPA NO.1 DAN 2</t>
  </si>
  <si>
    <t>LOKASI: BOOSTER PUMP GAVERTA</t>
  </si>
  <si>
    <t>PENGGANTIAN BUTTERFLY VALVE Ø 6" DAN CHECK VALVE Ø 6"</t>
  </si>
  <si>
    <t xml:space="preserve">       - Butterfly Valve Ø 6" Wafer Type PN 16 Merk Flowcon</t>
  </si>
  <si>
    <t xml:space="preserve">       - Check valve Ø 6" Merk Arrow</t>
  </si>
  <si>
    <t xml:space="preserve">       - Elbow Ø 6"</t>
  </si>
  <si>
    <t xml:space="preserve">       - Flange Steel Ø 6" tebal: 15 mm</t>
  </si>
  <si>
    <t xml:space="preserve">       - Bolt/Nut 5/8 x 2,5"</t>
  </si>
  <si>
    <t xml:space="preserve">       - Bolt/Nut 5/8 x 5"</t>
  </si>
  <si>
    <t xml:space="preserve">       - Rubber Packing 3 mm</t>
  </si>
  <si>
    <t xml:space="preserve">       - Pipa Steel Ø 6" tebal: 6 mm</t>
  </si>
  <si>
    <t xml:space="preserve">       - Bongkar pasang elbow (kerja malam)</t>
  </si>
  <si>
    <t xml:space="preserve">       - Bongkar pasang Butterfly valve Ø 6" (kerja malam)</t>
  </si>
  <si>
    <t xml:space="preserve">       - Bongkar pasang Check valve Ø 6" (kerja malam)</t>
  </si>
  <si>
    <t xml:space="preserve">       - Pemotongan pipa Ø 6"</t>
  </si>
  <si>
    <t>M²</t>
  </si>
  <si>
    <t xml:space="preserve">       - Pengecatan pipa dan accesories cat minyak 3 x cat</t>
  </si>
  <si>
    <t>K23</t>
  </si>
  <si>
    <t xml:space="preserve">       - Pengelasan pipa steel dan flange steel </t>
  </si>
  <si>
    <t xml:space="preserve">       - Flange Steel Ø 4"  tebal : 15 mm</t>
  </si>
  <si>
    <t>PEMASANGAN CAMERA CCTV</t>
  </si>
  <si>
    <t>LOKASI: BOOSTER PUMP MARELAN DAN SEJARAH</t>
  </si>
  <si>
    <t xml:space="preserve">       - DVR Merk Hitech 4 channel</t>
  </si>
  <si>
    <t>Roll</t>
  </si>
  <si>
    <t xml:space="preserve">       - Connector VGA</t>
  </si>
  <si>
    <t xml:space="preserve">       - Clamp pipa Uk:3/4" @100 buah</t>
  </si>
  <si>
    <t xml:space="preserve">       - Connector BNC</t>
  </si>
  <si>
    <t xml:space="preserve">       - Connector DC</t>
  </si>
  <si>
    <t xml:space="preserve">       - Pemasangan kabel dan camera CCTV</t>
  </si>
  <si>
    <t xml:space="preserve">       - Camera Dome Merk Hitech 348 black 1000 TVL</t>
  </si>
  <si>
    <t>UPGRADE ALAT KOMUNIKASI</t>
  </si>
  <si>
    <t xml:space="preserve">    -  Antena High Gain</t>
  </si>
  <si>
    <t xml:space="preserve">    -  Kabel R.G.8</t>
  </si>
  <si>
    <t xml:space="preserve">    -  Connector Cabel</t>
  </si>
  <si>
    <t xml:space="preserve">    -  Cabel Jamper</t>
  </si>
  <si>
    <t xml:space="preserve">    -  Extra Mike untuk HT</t>
  </si>
  <si>
    <t xml:space="preserve">    -  Pipa 1½" , clamp dan kawat penyangga</t>
  </si>
  <si>
    <t xml:space="preserve">    -  Pemasangan antena, kabel, komponen dan setting</t>
  </si>
  <si>
    <t>Medan,      Juni 2014</t>
  </si>
  <si>
    <t>PENGGANTIAN BUTTERFLY VALVE Ø 300 MM</t>
  </si>
  <si>
    <t xml:space="preserve">    -  Mur/Baut ¾ x 12"</t>
  </si>
  <si>
    <t xml:space="preserve">    -  Mur ¾"</t>
  </si>
  <si>
    <t xml:space="preserve">    -  Rubber Packing tebal: 5 mm</t>
  </si>
  <si>
    <t xml:space="preserve">    -  Pipa Steel Ø 300 mm tebal: 7 mm</t>
  </si>
  <si>
    <t xml:space="preserve">    -  Flange Steel Ø 300 mm</t>
  </si>
  <si>
    <t xml:space="preserve">    -  Bongkar pasang Butterfly Valve Ø 300 mm</t>
  </si>
  <si>
    <t xml:space="preserve">    -  Pasang Spoel Piece Ø 300 mm</t>
  </si>
  <si>
    <t xml:space="preserve">    -  Bongkar pasang Check Valve Ø 300 mm</t>
  </si>
  <si>
    <t xml:space="preserve">    -  Pemotongan pipa tebal: 7 mm</t>
  </si>
  <si>
    <t xml:space="preserve">    -  Pengelasan Spoel Piece ( las penuh )</t>
  </si>
  <si>
    <t>Medan,      September 2014</t>
  </si>
  <si>
    <t xml:space="preserve">    -  Comissioning Test</t>
  </si>
  <si>
    <t>PERBAIKAN WATER LEVEL</t>
  </si>
  <si>
    <t>LOKASI: BOOSTER PUMP MENARA (GUNUNG 4)</t>
  </si>
  <si>
    <t xml:space="preserve">    -  Water Level Digital</t>
  </si>
  <si>
    <t xml:space="preserve">       Model : DAG - AXV</t>
  </si>
  <si>
    <t xml:space="preserve">       Brand : Kobold - Germany</t>
  </si>
  <si>
    <t xml:space="preserve">    -  Upah bongkar pasang / setting</t>
  </si>
  <si>
    <t xml:space="preserve">    -  Photo dan dokumentasi</t>
  </si>
  <si>
    <t xml:space="preserve">       - Hard Disk Merk SEAGATE 500 Gb</t>
  </si>
  <si>
    <t xml:space="preserve">       - Adaptor Merk Hitech u/4 camera</t>
  </si>
  <si>
    <t xml:space="preserve">       - Camera Out Door Merk Hitech 966 ; 1000 TVL include kaki</t>
  </si>
  <si>
    <t xml:space="preserve">       - Kabel RG 59 @ 100 m/roll include DC</t>
  </si>
  <si>
    <t>Medan,     September 2014</t>
  </si>
  <si>
    <t>Bapak Rudi</t>
  </si>
  <si>
    <t>PENCUCIAN TANGKI UTAMA BBM SOLAR</t>
  </si>
  <si>
    <t>LOKASI: BOOSTER PUMP PASAR IV PADANG BULAN</t>
  </si>
  <si>
    <t xml:space="preserve">    -  Drum minyak kapasitas 220 liter</t>
  </si>
  <si>
    <t xml:space="preserve">    -  Kain majun</t>
  </si>
  <si>
    <t xml:space="preserve">    -  Reducer sock 1 x ¾ " PVC</t>
  </si>
  <si>
    <t xml:space="preserve">    -  Pipa PVC Ø ¾"</t>
  </si>
  <si>
    <t xml:space="preserve">    -  Lem PVC</t>
  </si>
  <si>
    <t>Kg</t>
  </si>
  <si>
    <t>Tube</t>
  </si>
  <si>
    <t xml:space="preserve">    -  Bongkar pasang cupper tangki utama</t>
  </si>
  <si>
    <t xml:space="preserve">    -  Pengangkatan residu dan pembersihan tangki utama</t>
  </si>
  <si>
    <t xml:space="preserve">    -  Pemasangan dan pengangkatan tangga ke dalam tangki</t>
  </si>
  <si>
    <t xml:space="preserve">    -  Memindahkan BBM solar dari dalam tangki utama ke drum</t>
  </si>
  <si>
    <t>Liter</t>
  </si>
  <si>
    <t>PENAMBAHAN PINTU RUANGAN POMPA</t>
  </si>
  <si>
    <t>1. Pintu Ruangan Pompa</t>
  </si>
  <si>
    <t xml:space="preserve">      -  Pembobokan dinding batu bata Uk : 305 x 305 cm dan pembersihan</t>
  </si>
  <si>
    <t xml:space="preserve">         Uk : 305 x 305 cm  + jalusi Uk : 65 x 305 cm</t>
  </si>
  <si>
    <t>2. Penambahan lantai Plat Bordes</t>
  </si>
  <si>
    <t xml:space="preserve">      -  Pembuatan kerangka lantai dengan penutup plat bordes</t>
  </si>
  <si>
    <t xml:space="preserve">      -  Pembongkaran dan pemasangan terali</t>
  </si>
  <si>
    <t>3. Pembuatan jalan masuk kendaraan</t>
  </si>
  <si>
    <t xml:space="preserve">      -  Pembersihan lokasi</t>
  </si>
  <si>
    <t xml:space="preserve">      -  Pengecoran jalan beton cor </t>
  </si>
  <si>
    <t>4. Pembongkaran tangga/pemasangan kembali</t>
  </si>
  <si>
    <t>5. Pembuatan sekat penutup pintu</t>
  </si>
  <si>
    <t>G.41.a</t>
  </si>
  <si>
    <t>Supl 5</t>
  </si>
  <si>
    <t xml:space="preserve">      -  Pengecoran beton bertulang  1 x 2 x 3</t>
  </si>
  <si>
    <t>Medan,      Oktober 2014</t>
  </si>
  <si>
    <t>Dua Puluh Enam Juta Dua ratus Enam Puluh Ribu Rupiah</t>
  </si>
  <si>
    <t>Lima Belas Juta Dua Ratus Tujuh Puluh Empat Ribu Rupiah</t>
  </si>
  <si>
    <t xml:space="preserve">    -  Butterfly Valve Ø 300 mm Merk Flowcon Material Cast Iron</t>
  </si>
  <si>
    <t>LOKASI: BOOSTER PUMP MABAR</t>
  </si>
  <si>
    <t>PEMASANGAN TANGKI BBM SOLAR</t>
  </si>
  <si>
    <t>Pembongkaran/pemindahan tangki harian BBM Solar.</t>
  </si>
  <si>
    <t>1. Pembongkaran/pemasangan pipa instalasi solar dan acessories.</t>
  </si>
  <si>
    <t>2. Pembongkaran tangki solar, pengangkatan dari BP. Laubeng Klewang</t>
  </si>
  <si>
    <t xml:space="preserve">      ke BP. Mabar dan pemasangan.</t>
  </si>
  <si>
    <t>3. Pembongkaran dudukan tangki, pengangkatan dan pemasangan</t>
  </si>
  <si>
    <t>4. Bongkar/pasang pompa solar</t>
  </si>
  <si>
    <t>5. Pembongkaran tangki volume 100 liter</t>
  </si>
  <si>
    <t>PEMASANGAN TANGKI HARIAN</t>
  </si>
  <si>
    <t>PEMBONGKARAN DAN PEMASANGAN TANGKI HARIAN</t>
  </si>
  <si>
    <t>-  Bongkar tangki Ø 60 x 120 cm</t>
  </si>
  <si>
    <t>-  Pasang tangki</t>
  </si>
  <si>
    <t>-  Pengangkatan dari Laubeng Klewang ke Mabar</t>
  </si>
  <si>
    <t xml:space="preserve">2. -  Pembongkaran tangki </t>
  </si>
  <si>
    <t xml:space="preserve">        disetarakan bongkar/pasang valve Ø 600 mm</t>
  </si>
  <si>
    <t>Rp. 150.000,-</t>
  </si>
  <si>
    <t xml:space="preserve">     -  Biaya transportasi dari BP. Laubeng Klewang ke BP. Mabar</t>
  </si>
  <si>
    <t xml:space="preserve">     -  Peralatan</t>
  </si>
  <si>
    <t xml:space="preserve">2. -  Pembongkaran bobok beton cor </t>
  </si>
  <si>
    <t xml:space="preserve">         tapak dudukan tangki 8 tempat @ (ls)</t>
  </si>
  <si>
    <t>PENGGANTIAN CHECK VALVE Ø 200 MM</t>
  </si>
  <si>
    <t>-  Check Valve Ø 200 mm</t>
  </si>
  <si>
    <t>-  Bongkar pasang butterfly valve Ø 200 mm</t>
  </si>
  <si>
    <t>Biaya Pelaksanaan  ( kerja malam )</t>
  </si>
  <si>
    <t>-  Bongkar pasang check valve Ø 200 mm</t>
  </si>
  <si>
    <t>-  Bongkar pasang spoel piece</t>
  </si>
  <si>
    <t>PEMBUATAN PINTU RUANGAN POMPA</t>
  </si>
  <si>
    <t>Pembuatan kerangka lantai dengan penutup plat bordes</t>
  </si>
  <si>
    <t>-  Besi U uk:120 x 5 x 6 mm</t>
  </si>
  <si>
    <t>8 batang @ 6 m</t>
  </si>
  <si>
    <t>8 btg  x Rp. 644.000</t>
  </si>
  <si>
    <t>Rp.   5.152.000</t>
  </si>
  <si>
    <t>-  Plat Bordes uk: 120 x 240 x 4 mm</t>
  </si>
  <si>
    <t>3 lembar @ Rp. 1.203.555</t>
  </si>
  <si>
    <t>Rp. 3.610.665</t>
  </si>
  <si>
    <t>Rp. 833.165,6</t>
  </si>
  <si>
    <t>- Pemotongan besi U uk: 120 x 5 x 6 mm</t>
  </si>
  <si>
    <t>Rp. 428.927,3</t>
  </si>
  <si>
    <t>Rp. 648.017,5</t>
  </si>
  <si>
    <t>- Pembobokan lantai beton bertulang untuk dudukan kerangka</t>
  </si>
  <si>
    <t xml:space="preserve">   uk: 40 x 13 x 5 cm</t>
  </si>
  <si>
    <t>8 tempat x Rp. 75.000  (ls)</t>
  </si>
  <si>
    <t>Rp. 600.000</t>
  </si>
  <si>
    <t>- Pengeboran besi UNP</t>
  </si>
  <si>
    <t>8 lobang x Rp. 7.645,32</t>
  </si>
  <si>
    <t>Rp. 61.871,9</t>
  </si>
  <si>
    <t>- Pengeboran beton bertulang/pemasangan dynabolt 5/8 x 3"</t>
  </si>
  <si>
    <t>8 tempat x Rp. 20.000  (ls)</t>
  </si>
  <si>
    <t>Rp. 160.000</t>
  </si>
  <si>
    <t>Rp. 11.498.959,8</t>
  </si>
  <si>
    <t xml:space="preserve">TOTAL     </t>
  </si>
  <si>
    <t xml:space="preserve">DIBULATKAN     </t>
  </si>
  <si>
    <t>Rp. 11.498.959</t>
  </si>
  <si>
    <t xml:space="preserve">-  Jalusi bagian atas pintu harmonika uk: 65 x 340 cm </t>
  </si>
  <si>
    <t>Rp. 1.000.000</t>
  </si>
  <si>
    <t>1 unit x Rp. 1.000.000</t>
  </si>
  <si>
    <t>-  Pintu harmonika</t>
  </si>
  <si>
    <t xml:space="preserve">    uk: 305 x 305 cm   tebal plat besi 3 mm</t>
  </si>
  <si>
    <t>9,3025 m2 @ Rp. 910.000</t>
  </si>
  <si>
    <t>Rp. 8.465.275</t>
  </si>
  <si>
    <t>Rp. 8.450.000</t>
  </si>
  <si>
    <t xml:space="preserve">dibulatkan </t>
  </si>
  <si>
    <t xml:space="preserve">TOTAL    </t>
  </si>
  <si>
    <t>Rp. 9.450.000</t>
  </si>
  <si>
    <t>Dua Puluh Tujuh Juta Lima Puluh Enam Ribu Rupiah</t>
  </si>
  <si>
    <t xml:space="preserve">- Pengelasan plat bordes </t>
  </si>
  <si>
    <t>- Pengelasan besi UNP</t>
  </si>
  <si>
    <t>4,5 m x Rp. 185.147,93</t>
  </si>
  <si>
    <t>8,74 m x Rp. 49.076,36</t>
  </si>
  <si>
    <t>3,5 m x Rp. 185.147,93</t>
  </si>
  <si>
    <t>LOKASI: BOOSTER PUMP MEDAN DENAI</t>
  </si>
  <si>
    <t>PEMASANGAN CHECK VALVE DAN BUTTERFLY VALVE Ø 150 MM POMPA NO.1 DAN 2</t>
  </si>
  <si>
    <t xml:space="preserve">-  Butterfly Valve Ø 150 mm </t>
  </si>
  <si>
    <t xml:space="preserve">    Merk KSB Amri</t>
  </si>
  <si>
    <t>-  Check Valve Ø 150 mm</t>
  </si>
  <si>
    <t xml:space="preserve">    Merk </t>
  </si>
  <si>
    <t>-  Rubber Packing</t>
  </si>
  <si>
    <t>-  Pipa Steel Ø 150 mm</t>
  </si>
  <si>
    <t>-  Flange Steel Ø 150 mm tebal:15 mm</t>
  </si>
  <si>
    <t>-  Bongkar pasang butterfly valve Ø 150 mm</t>
  </si>
  <si>
    <t>-  Bongkar pasang check valve Ø 150 mm</t>
  </si>
  <si>
    <t>-  Pemotongan pipa header Ø 150 mm</t>
  </si>
  <si>
    <t xml:space="preserve">    bekas pengelasan lama posisi diatas</t>
  </si>
  <si>
    <t>-  Pengelasan pipa</t>
  </si>
  <si>
    <t>-  Comissioning Test</t>
  </si>
  <si>
    <t>RINCIAN BIAYA</t>
  </si>
  <si>
    <r>
      <rPr>
        <u/>
        <sz val="11"/>
        <color indexed="8"/>
        <rFont val="Calibri"/>
        <family val="2"/>
      </rPr>
      <t>Rp. 1.250.000,-</t>
    </r>
    <r>
      <rPr>
        <sz val="11"/>
        <color indexed="8"/>
        <rFont val="Calibri"/>
        <family val="2"/>
      </rPr>
      <t xml:space="preserve"> (disetarakan dengan bongkar</t>
    </r>
  </si>
  <si>
    <t xml:space="preserve">                                </t>
  </si>
  <si>
    <t xml:space="preserve">      valve Ø 1000 mm)</t>
  </si>
  <si>
    <t>Rp. 625.000,-</t>
  </si>
  <si>
    <t>Pembongkaran tangki solar,pengangkatan dari Booster Pump</t>
  </si>
  <si>
    <t>Laubeng Klewang ke Booster Pump Mabar dan pemasangan.</t>
  </si>
  <si>
    <t xml:space="preserve">   - Pemasangan tangki solar</t>
  </si>
  <si>
    <t xml:space="preserve">    - Pembongkaran tangki solar </t>
  </si>
  <si>
    <t xml:space="preserve">       valve Ø 1000 mm)</t>
  </si>
  <si>
    <r>
      <rPr>
        <b/>
        <sz val="11"/>
        <color indexed="8"/>
        <rFont val="Calibri"/>
        <family val="2"/>
      </rPr>
      <t>Rp. 1.250.000,-</t>
    </r>
    <r>
      <rPr>
        <sz val="11"/>
        <color indexed="8"/>
        <rFont val="Calibri"/>
        <family val="2"/>
      </rPr>
      <t xml:space="preserve">  (disetarakan dengan pemasangan</t>
    </r>
  </si>
  <si>
    <t xml:space="preserve">   - Pembongkaran tiang katrol 2 (dua) tempat</t>
  </si>
  <si>
    <r>
      <rPr>
        <b/>
        <sz val="11"/>
        <color indexed="8"/>
        <rFont val="Calibri"/>
        <family val="2"/>
      </rPr>
      <t>Rp. 350.000,-</t>
    </r>
    <r>
      <rPr>
        <sz val="11"/>
        <color indexed="8"/>
        <rFont val="Calibri"/>
        <family val="2"/>
      </rPr>
      <t xml:space="preserve">  (Ls)</t>
    </r>
  </si>
  <si>
    <t xml:space="preserve">   - Biaya transportasi pengangkatan tangki dari BP. Laubeng </t>
  </si>
  <si>
    <t xml:space="preserve">      Klewang ke BP. Mabar</t>
  </si>
  <si>
    <r>
      <rPr>
        <b/>
        <sz val="11"/>
        <color indexed="8"/>
        <rFont val="Calibri"/>
        <family val="2"/>
      </rPr>
      <t xml:space="preserve">Rp. 275.000,-  </t>
    </r>
    <r>
      <rPr>
        <sz val="11"/>
        <color indexed="8"/>
        <rFont val="Calibri"/>
        <family val="2"/>
      </rPr>
      <t xml:space="preserve"> (Ls)</t>
    </r>
  </si>
  <si>
    <t>Rp. 2.500.000,-</t>
  </si>
  <si>
    <t>TOTAL BIAYA</t>
  </si>
  <si>
    <t>Tiga Juta Tiga Ratus Tujuh Puluh Lima Ribu Rupiah</t>
  </si>
  <si>
    <t xml:space="preserve">      -  Tempa pintu harmonika dan pemasangan</t>
  </si>
  <si>
    <t>Medan,      November 2014</t>
  </si>
  <si>
    <t>PERBAIKAN JENDELA RUANGAN OPERATOR</t>
  </si>
  <si>
    <t>-  Tempa daun jendela</t>
  </si>
  <si>
    <t xml:space="preserve">    Uk: 60 x 98 cm</t>
  </si>
  <si>
    <t>-  Tempa jerjak jendela dan pemasangan</t>
  </si>
  <si>
    <t>-  Bongkar pasang dismentling joint Ø 200 mm</t>
  </si>
  <si>
    <t>Satu juta tujuh ratus dua puluh sembilan ribu rupiah</t>
  </si>
  <si>
    <t xml:space="preserve">    Uk: 60 x 125 cm</t>
  </si>
  <si>
    <t>-  Bongkar jendela nako dan pemasangan daun jendela</t>
  </si>
  <si>
    <t>-  Pengecatan daun jendela 3 x cat minyak Bee Brand 1000</t>
  </si>
  <si>
    <t>Dua Juta Sembilan Ratus Tiga Puluh Ribu Rupiah</t>
  </si>
  <si>
    <t>Medan,   November 2014</t>
  </si>
  <si>
    <t>Empat puluh dua juta delapan ratus enam puluh tiga ribu lima ratus rupiah</t>
  </si>
  <si>
    <t>LOKASI : BOOSTER PUMP SEI AGUL</t>
  </si>
  <si>
    <t>08 Jan 2015</t>
  </si>
  <si>
    <t>09.00 - 16.00</t>
  </si>
  <si>
    <t>Pompa beroperasi sesuai jadwal</t>
  </si>
  <si>
    <t>09 Jan 2015</t>
  </si>
  <si>
    <t>SUMP PUMP                 Ø 4"</t>
  </si>
  <si>
    <t>15.00 - 19.00</t>
  </si>
  <si>
    <t>- Pengurasan Reservoir I</t>
  </si>
  <si>
    <t>19.00 - 03.00</t>
  </si>
  <si>
    <t>- Pengisian Reservoir I</t>
  </si>
  <si>
    <t>Pompa beroperasi normal sesuai jadwal</t>
  </si>
  <si>
    <t>20.00 - 02.00</t>
  </si>
  <si>
    <t>- Pengurasan Reservoir II</t>
  </si>
  <si>
    <t>- Pengisian Reservoir II</t>
  </si>
  <si>
    <t>02.00 - 05.00</t>
  </si>
  <si>
    <t>05.00 - 09.00</t>
  </si>
  <si>
    <t>- Pengaturan Valve kembali</t>
  </si>
  <si>
    <t>- Pengoperasian pompa</t>
  </si>
  <si>
    <t>- Pembersihan disekitar lokasi kerja</t>
  </si>
  <si>
    <t>Pompa OFF</t>
  </si>
  <si>
    <t>Pompa beroperasi sesuai jadwal/kondisi</t>
  </si>
  <si>
    <t>Pada tanggal 08 Januari 2015 seluruh peralatan dan kelengkapan lainnya sudah berada dilokasi</t>
  </si>
  <si>
    <t>- Pengaturan Valve</t>
  </si>
  <si>
    <t>-  Pipa PVC Ø 4"</t>
  </si>
  <si>
    <t>-  Pipa PVC Ø 6"</t>
  </si>
  <si>
    <t>-  Elbow PVC Ø 4"</t>
  </si>
  <si>
    <t>-  Elbow PVC Ø 6"</t>
  </si>
  <si>
    <t>-  Flange Sock PVC Ø 4"</t>
  </si>
  <si>
    <t>-  Flange Sock PVC Ø 6"</t>
  </si>
  <si>
    <t>-  Papan Penggaruk lumpur Uk: 150 x 20 x 200 cm</t>
  </si>
  <si>
    <t>-  Perancah tiang katrol</t>
  </si>
  <si>
    <t>1. Pemasangan pompa/accesories dan alat bantu kerja</t>
  </si>
  <si>
    <t xml:space="preserve">      -  Penerangan reservoir 1 hari</t>
  </si>
  <si>
    <t xml:space="preserve">      -  Mobilisasi pipa dan accesories</t>
  </si>
  <si>
    <t xml:space="preserve">      -  Bongkar pasang pompa 4"/pipa dan accesories</t>
  </si>
  <si>
    <t xml:space="preserve">      -  Bongkar pasang pompa 6"/pipa dan accesories</t>
  </si>
  <si>
    <t xml:space="preserve">      -  Sewa pompa 4" selama 2 hari</t>
  </si>
  <si>
    <t xml:space="preserve">      -  Sewa pompa 6" selama 2 hari</t>
  </si>
  <si>
    <t>2. Pengurasan/pencucian reservoir Uk: 30 x 28 x 4 m</t>
  </si>
  <si>
    <t xml:space="preserve">      -  Pengurasan residu reservoir tebal 40 cm (kerja malam)</t>
  </si>
  <si>
    <t xml:space="preserve">      -  Penyikatan dinding dan tiang reservoir (kerja malam)</t>
  </si>
  <si>
    <t xml:space="preserve">      -  Penyikatan lantai reservoir (kerja malam)</t>
  </si>
  <si>
    <t>3. Pembersihan rumput dan tanah saluran parit disekitar lokasi reservoir</t>
  </si>
  <si>
    <t xml:space="preserve">      -  Pengangkatan pasir/lumpur reservoir tebal 15 cm (kerja malam)</t>
  </si>
  <si>
    <t>Medan,      Februari 2015</t>
  </si>
  <si>
    <t>Dua Puluh Satu Juta Tiga Ratus Tujuh Ribu Rupiah</t>
  </si>
  <si>
    <t>SEWA POMPA PENGURASAN RESERVOIR</t>
  </si>
  <si>
    <t>-  Biaya sewa pompa Ø 4" /hari dari tempat penyewaan</t>
  </si>
  <si>
    <t>-  Keuntungan rekanan penyewa 25%</t>
  </si>
  <si>
    <t>Total biaya sewa pompa/hari</t>
  </si>
  <si>
    <t>-  Biaya sewa pompa Ø 6" /hari dari tempat penyewaan</t>
  </si>
  <si>
    <t>25% x 775.000</t>
  </si>
  <si>
    <t>775.000 + 193.750</t>
  </si>
  <si>
    <t>25% x 600.000</t>
  </si>
  <si>
    <t>600.000 + 150.000</t>
  </si>
  <si>
    <t>Lokasi : Booster Pump Gaverta</t>
  </si>
  <si>
    <t>Dua Puluh Empat Juta Dua Ratus Tujuh Puluh Satu Ribu Rupiah</t>
  </si>
  <si>
    <t>2. Pengurasan/pencucian reservoir Uk: 30 x 38 x 4 m</t>
  </si>
  <si>
    <t>PERBAIKAN CHECK VALVE Ø 400 MM</t>
  </si>
  <si>
    <t xml:space="preserve">-  Tempa shaft disk butterfly valve Ø 400 mm </t>
  </si>
  <si>
    <t xml:space="preserve">    Uk : 130 x 40 mm  SUS 316</t>
  </si>
  <si>
    <t>-  Pembuatan spi tirus</t>
  </si>
  <si>
    <t xml:space="preserve">    Uk : 15 x 55 mm SUS 316</t>
  </si>
  <si>
    <t xml:space="preserve">-  Tempa rubber disk butterfly valve Ø 400 mm </t>
  </si>
  <si>
    <t>-  Mur Baut 3/4 x 4"</t>
  </si>
  <si>
    <t>-  Rubber packing 3 mm</t>
  </si>
  <si>
    <t>-  Pipa Ø 400 mm tebal: 8 mm</t>
  </si>
  <si>
    <t>-  Flange Steel Ø 400 mm tebal: 18 mm</t>
  </si>
  <si>
    <t xml:space="preserve">      -  Pengelasan pipa untuk spoel piece</t>
  </si>
  <si>
    <t xml:space="preserve">      -  Pemotongan pipa untuk spoel piece</t>
  </si>
  <si>
    <t xml:space="preserve">      -  Bongkar pasang check valve Ø 400 mm ( k. malam)</t>
  </si>
  <si>
    <t xml:space="preserve">      -  Bongkar pasang butterfly  valve Ø 400 mm ( k. malam)</t>
  </si>
  <si>
    <t xml:space="preserve">      -  Bongkar pasang komponen butterfly  valve Ø 400 mm ( k. malam)</t>
  </si>
  <si>
    <t xml:space="preserve">      -  Bongkar pasang dismentling joint Ø 400 mm ( k. Malam)</t>
  </si>
  <si>
    <t xml:space="preserve">      -  Service disk check valve Ø 400 mm</t>
  </si>
  <si>
    <t>PERBAIKAN PIPA DISCHARGE POMPA NO.1 DAN 2</t>
  </si>
  <si>
    <t>LOKASI: BOOSTER PUMP SEJARAH</t>
  </si>
  <si>
    <t>-  Mur Baut 5/8 x 3"</t>
  </si>
  <si>
    <t xml:space="preserve">      -  Bongkar pasang check valve Ø 150 mm ( k. malam)</t>
  </si>
  <si>
    <t xml:space="preserve">      -  Bongkar pasang butterfly  valve Ø 150 mm ( k. malam)</t>
  </si>
  <si>
    <t xml:space="preserve">      -  Bongkar pasang elbow Ø 150 mm ( k. malam)</t>
  </si>
  <si>
    <t xml:space="preserve">      -  Pengelasan pipa discharge</t>
  </si>
  <si>
    <t>Tmp</t>
  </si>
  <si>
    <t>Satu Juta Delapan Ratus Enam Belas Ribu Rupiah</t>
  </si>
  <si>
    <t xml:space="preserve">      -  Service gearbox dan disk butterfly valve Ø 400 mm</t>
  </si>
  <si>
    <t>Muhri Fepri Iswanto, ST</t>
  </si>
  <si>
    <t>Kadiv. Transmisi Distribusi</t>
  </si>
  <si>
    <t>Syahrial ,ST</t>
  </si>
  <si>
    <t>LOKASI : BOOSTER PUMP GAVERTA</t>
  </si>
  <si>
    <t>16 April 2015</t>
  </si>
  <si>
    <t>15 orang</t>
  </si>
  <si>
    <t>Pada tanggal 16 April 2015 seluruh peralatan dan kelengkapan lainnya sudah berada dilokasi</t>
  </si>
  <si>
    <t>17 April 2015</t>
  </si>
  <si>
    <t>14.00 - 19.00</t>
  </si>
  <si>
    <t>- Pengaturan Valve Cel I</t>
  </si>
  <si>
    <t>19.00 - 02.00</t>
  </si>
  <si>
    <t>Pompa beroperasi sesuai jadwal/kondisi kebutuhan air disuplay dari reservoir cel I dan II</t>
  </si>
  <si>
    <t>SUMP PUMP                 Ø 4 &amp; 6"</t>
  </si>
  <si>
    <t>- Pengurasan Reservoir  Cel I</t>
  </si>
  <si>
    <t>- Pengisian Reservoir Cel I</t>
  </si>
  <si>
    <t>- Pengurasan Reservoir Cel II</t>
  </si>
  <si>
    <t>- Pengisian Reservoir Cel II</t>
  </si>
  <si>
    <t>Pompa beroperasi normal sesuai jadwal kebutuhan air dari reservoir Cel II</t>
  </si>
  <si>
    <t xml:space="preserve">      -  Pengurasan residu reservoir tebal 50 cm (kerja malam)</t>
  </si>
  <si>
    <t>Syahrial, ST</t>
  </si>
  <si>
    <t>Dua Puluh Delapan Juta Sembilan Ratus Empat Puluh Lima Ribu Rupiah</t>
  </si>
  <si>
    <t xml:space="preserve">      -  Pengangkatan pasir/lumpur reservoir tebal 12 cm (kerja malam)</t>
  </si>
  <si>
    <t>Medan,         Mei 2015</t>
  </si>
  <si>
    <t>2. Pengurasan/pencucian reservoir Uk: 33 x 12 x 3 m</t>
  </si>
  <si>
    <t xml:space="preserve">      -  Pengangkatan pasir/lumpur reservoir tebal 7 cm (kerja malam)</t>
  </si>
  <si>
    <t>3. Pembersihan saluran disekitar parit pekarangan</t>
  </si>
  <si>
    <t>-  Swing Check Valve Ø 200 mm</t>
  </si>
  <si>
    <t xml:space="preserve">    Material : Cast Iron</t>
  </si>
  <si>
    <t xml:space="preserve">    JIS 10 K</t>
  </si>
  <si>
    <r>
      <t xml:space="preserve">   Merk : </t>
    </r>
    <r>
      <rPr>
        <i/>
        <sz val="12"/>
        <rFont val="Calibri"/>
        <family val="2"/>
      </rPr>
      <t>KITZ</t>
    </r>
  </si>
  <si>
    <t>- Bongkar Pasang Dismentling Joint Ø 200 mm (kerja malam)</t>
  </si>
  <si>
    <t>- Bongkar Pasang Check Valve Ø 200 mm (kerja malam)</t>
  </si>
  <si>
    <t>- Bongkar Pasang Butterfly Valve Ø 200 mm (kerja malam)</t>
  </si>
  <si>
    <t>- Pembuatan lobang Check Valve</t>
  </si>
  <si>
    <t>Medan,         Juli 2015</t>
  </si>
  <si>
    <t>PEMBUATAN (TEMPA) SHAFT GATE VALVE Ø 200 MM</t>
  </si>
  <si>
    <t>-  Pembuatan (tempa) Shaft Gate Valve Ø 200 mm</t>
  </si>
  <si>
    <t xml:space="preserve">    Lengkap sceting </t>
  </si>
  <si>
    <t xml:space="preserve">   Material Shaft  SUS 304</t>
  </si>
  <si>
    <t xml:space="preserve">   Seating : Bronze</t>
  </si>
  <si>
    <t>Satu Juta Dua Ratus Lima Puluh Ribu Rupiah</t>
  </si>
  <si>
    <t>Tujuh Belas Juta Dua Ratus Empat Puluh Delapan Ribu Rupiah</t>
  </si>
  <si>
    <t>31 Juli 2015</t>
  </si>
  <si>
    <t>1 Agustus 2015</t>
  </si>
  <si>
    <t>16.00 - 20.00</t>
  </si>
  <si>
    <t>Pada tanggal 31 Juli 2015 seluruh peralatan dan kelengkapan lainnya sudah berada dilokasi</t>
  </si>
  <si>
    <t>3.05(A10)</t>
  </si>
  <si>
    <t>Tiga Belas Juta Enam Ratus Lima Puluh Lima Ribu Rupiah</t>
  </si>
  <si>
    <t>PEMASANGAN WATER LEVEL</t>
  </si>
  <si>
    <t>- Water level sensor Siemens 7 ML 1115 - OKA30</t>
  </si>
  <si>
    <t>- Display Siemens 7 ML 5050  OAB12 -1 DAO</t>
  </si>
  <si>
    <t>REALISASI BIAYA PEKERJAAN</t>
  </si>
  <si>
    <t>LOKASI : BOOSTER PUMP MEDAN DENAI</t>
  </si>
  <si>
    <t>4 Sep 2015</t>
  </si>
  <si>
    <t>3 Sep 2015</t>
  </si>
  <si>
    <t>Pada tanggal 3 Sep 2015 seluruh peralatan dan kelengkapan lainnya sudah berada dilokasi</t>
  </si>
  <si>
    <t>- Pengisian Reservoir Cell I dan Cel II</t>
  </si>
  <si>
    <t>- Pengurasan Reservoir Cell I dan Cell II</t>
  </si>
  <si>
    <t>Gusneidi Nazer</t>
  </si>
  <si>
    <t>PERBAIKAN FLANGE SPIGOT PIPA DISCHARGE POMPA</t>
  </si>
  <si>
    <t>LOKASI: BOOSTER PUMP MENARA DAN SEJARAH</t>
  </si>
  <si>
    <t>- Elbow Ø 6"</t>
  </si>
  <si>
    <t>Mtr</t>
  </si>
  <si>
    <t>- Bongkar pasang flange spigot 6"</t>
  </si>
  <si>
    <t>RENCANA ANGGARAN BIAYA</t>
  </si>
  <si>
    <t>PEMBUATAN CANOPY DAN TANGKI TIMBUN SODIUM HYPOCHLORINE</t>
  </si>
  <si>
    <t>- Tangki timbun sodium kapasitas 1000 liter</t>
  </si>
  <si>
    <t xml:space="preserve">  material fiber lapis rangka baja ringan</t>
  </si>
  <si>
    <t>- Pipa PVC 1/2 "</t>
  </si>
  <si>
    <t>- Boll Valve PVC 1/2"</t>
  </si>
  <si>
    <t>- Reducer PVC 2½" x 1/2"</t>
  </si>
  <si>
    <t>- Pembersihan lokasi</t>
  </si>
  <si>
    <t xml:space="preserve">   Rangka baja ringan, seng Multiroof, tiang baja ringan</t>
  </si>
  <si>
    <t>- Pemasangan tangki dan accesories</t>
  </si>
  <si>
    <t>Medan,         Oktober 2015</t>
  </si>
  <si>
    <t>LOKASI: BOOSTER PUMP RUMAH SUSUN</t>
  </si>
  <si>
    <r>
      <t xml:space="preserve">      -  Pengangkatan pasir/lumpur reservoir tebal </t>
    </r>
    <r>
      <rPr>
        <u/>
        <sz val="12"/>
        <rFont val="Calibri"/>
        <family val="2"/>
      </rPr>
      <t>+</t>
    </r>
    <r>
      <rPr>
        <sz val="12"/>
        <rFont val="Calibri"/>
        <family val="2"/>
      </rPr>
      <t xml:space="preserve"> 25 cm (kerja malam)</t>
    </r>
  </si>
  <si>
    <t>2. Pengurasan/pencucian reservoir Uk: 12 x 12 x 3 m</t>
  </si>
  <si>
    <t>- Pembuatan teras canopy 4 m x 3 m</t>
  </si>
  <si>
    <t>- Flange Ø 200 mm   P/N:10</t>
  </si>
  <si>
    <t>- Flange Ø 150 mm   P/N:10</t>
  </si>
  <si>
    <t>LOKASI: BOOSTER PUMP GARU I DAN MARTUBUNG</t>
  </si>
  <si>
    <t>1. Perbaikan check valve Ø 200 mm Garu I</t>
  </si>
  <si>
    <t xml:space="preserve">      -  Swing Check Valve Ø 200 mm Material: SUS 316</t>
  </si>
  <si>
    <t xml:space="preserve">      -  Shaft swing check valve Uk: 0.30 x 200 mm Material: SUS 316</t>
  </si>
  <si>
    <t xml:space="preserve">      -  Rekondisi lobang check valve Ø 200 mm (las CI, bubut)</t>
  </si>
  <si>
    <t xml:space="preserve">      -  Bongkar pasang check valve Ø 200 mm (kerja malam)</t>
  </si>
  <si>
    <t>2. Perbaikan check valve Ø 300 mm Martubung</t>
  </si>
  <si>
    <t xml:space="preserve">      -  Swing Check Valve Ø 300 mm Material: SUS 316</t>
  </si>
  <si>
    <t xml:space="preserve">      -  Shaft swing check valve Uk: 0.30 x 300 mm Material: SUS 316</t>
  </si>
  <si>
    <t xml:space="preserve">      -  Rekondisi lobang check valve Ø 300 mm (las CI, bubut)</t>
  </si>
  <si>
    <t xml:space="preserve">      -  Bongkar pasang check valve Ø 300 mm (kerja malam)</t>
  </si>
  <si>
    <t>PERBAIKAN CHECK VALVE Ø 200 MM DAN Ø 300 MM</t>
  </si>
  <si>
    <t xml:space="preserve">PERBAIKAN KNALPOT GENSET </t>
  </si>
  <si>
    <t xml:space="preserve">      -  Pemotongan pipa</t>
  </si>
  <si>
    <t xml:space="preserve">      -  Bobok dinding cor</t>
  </si>
  <si>
    <t xml:space="preserve">      -  Pengecoran dinding dan box knalpot</t>
  </si>
  <si>
    <t xml:space="preserve">      -  Pemasangan dan setting knalpot</t>
  </si>
  <si>
    <t xml:space="preserve">      -  Bend Steel Ø 6"</t>
  </si>
  <si>
    <t xml:space="preserve">      -  Flange Steel Ø 6"</t>
  </si>
  <si>
    <t xml:space="preserve">      -  Packing Ø 6"</t>
  </si>
  <si>
    <t xml:space="preserve">      -  Bolt And Nut 5/8"</t>
  </si>
  <si>
    <t xml:space="preserve">RENCANA ANGGARAN BIAYA </t>
  </si>
  <si>
    <t>PENGADAAN POMPA SOLAR TANGKI HARIAN</t>
  </si>
  <si>
    <t>Pompa Solar</t>
  </si>
  <si>
    <t>Merk : FIRMAN</t>
  </si>
  <si>
    <t>Type : FDP 20 Oil</t>
  </si>
  <si>
    <t>Q Maks : 25 liter/detik</t>
  </si>
  <si>
    <t>H Maks : 13 Meter</t>
  </si>
  <si>
    <t>Daya : 0.37 KW</t>
  </si>
  <si>
    <t>- Pipa Steel Ø 200 mm tebal: 6 mm</t>
  </si>
  <si>
    <t>- Pengelasan Flange Spigot Ø 200 mm (menara)</t>
  </si>
  <si>
    <t>- Pegelasan elbow dan Flange Spigot Ø 150 mm (sejarah)</t>
  </si>
  <si>
    <t>- Cor lantai 1.2.3 Uk : 2 x 4 x 0.30 m</t>
  </si>
  <si>
    <t>- Tiang canopy + cor</t>
  </si>
  <si>
    <t>- Bekisting untuk lantai</t>
  </si>
  <si>
    <t>PEMBUATAN FLANGE SPIGOT</t>
  </si>
  <si>
    <t>Lokasi : Booster Pump Menara dan Sejarah</t>
  </si>
  <si>
    <t>-  Pengelasan Flange Spigot Ø 200 mm</t>
  </si>
  <si>
    <t>-  Keliling pipa = π x D</t>
  </si>
  <si>
    <t>3,14 x 0,2 m</t>
  </si>
  <si>
    <t>0,628 m</t>
  </si>
  <si>
    <t>-  Pengelasan 3 x las</t>
  </si>
  <si>
    <t>3 x 0,628 m</t>
  </si>
  <si>
    <t>1,884 m</t>
  </si>
  <si>
    <t>2 x 1,884 m</t>
  </si>
  <si>
    <t>3,768 m</t>
  </si>
  <si>
    <t xml:space="preserve">Jadi pengelasan Flange Spigot Menara Ø 200 mm </t>
  </si>
  <si>
    <t>214.375 x 3,768</t>
  </si>
  <si>
    <t>-  Pengelasan Flange Spigot Ø 150 mm</t>
  </si>
  <si>
    <t>3,14 x 0,15 m</t>
  </si>
  <si>
    <t>0,471 m</t>
  </si>
  <si>
    <t>3 x 0,471 m</t>
  </si>
  <si>
    <t>1,413 m</t>
  </si>
  <si>
    <t>-  Pengelasan Elbow dan Flange 1 buah</t>
  </si>
  <si>
    <t>-  Pengelasan Flange  2 buah</t>
  </si>
  <si>
    <t>3 x 1,413 m</t>
  </si>
  <si>
    <t>4,239 m</t>
  </si>
  <si>
    <t>214.375 x 4,239</t>
  </si>
  <si>
    <t xml:space="preserve">Jadi pengelasan Flange Spigot Sejarah Ø 150 mm </t>
  </si>
  <si>
    <t>3.768</t>
  </si>
  <si>
    <t>4.239</t>
  </si>
  <si>
    <t>Enam Juta Empat Ratus Tujuh Ribu Rupiah</t>
  </si>
  <si>
    <t>Limaelas Juta Enam Ratus sembilan belas ribu tiga ratus Rupiah</t>
  </si>
  <si>
    <t>Medan,      Oktober 2015</t>
  </si>
  <si>
    <t>- Lem pipa isi 60 gram merk Isoplast</t>
  </si>
  <si>
    <t>Lima belas juta dua ratus dua ribu delapan ratus rupiah</t>
  </si>
  <si>
    <t xml:space="preserve">      -  Pipa Steel Hitam Ø 6" tebal: 2,5 mm</t>
  </si>
  <si>
    <t xml:space="preserve">      -  Pengelasan pipa 3 x</t>
  </si>
  <si>
    <t xml:space="preserve">      -  Perancah + katrol</t>
  </si>
  <si>
    <t>Empat Belas Juta Dua Ratus Lima Ribu Rupiah</t>
  </si>
  <si>
    <t>- Setting dan commisioning test</t>
  </si>
  <si>
    <t>Pcs</t>
  </si>
  <si>
    <t>Medan,         November 2015</t>
  </si>
  <si>
    <t>Biaya pelaksanaan Total II</t>
  </si>
  <si>
    <t>Grand Total I + II</t>
  </si>
  <si>
    <t xml:space="preserve">      -  Sewa pompa 4" selama 1 hari</t>
  </si>
  <si>
    <t xml:space="preserve">      -  Sewa pompa 6" selama 1 hari</t>
  </si>
  <si>
    <t>Sembilan Juta sembilan Puluh Lima Ribu Rupiah</t>
  </si>
  <si>
    <t>LOKASI: BOOSTER PUMP CEMARA, MARELAN DAN TUASAN</t>
  </si>
  <si>
    <t>PENGECATAN POMPA, ELEKTROMOTOR DAN PIPA SUCTION DAN DISCHARGE</t>
  </si>
  <si>
    <t>LOKASI: BOOSTER PUMP SIMALINGKAR,MEDAN DENAI,SEI AGUL, TUASAN DAN MABAR</t>
  </si>
  <si>
    <t xml:space="preserve">      -  Kuas 2"</t>
  </si>
  <si>
    <t xml:space="preserve">      -  Kuas 1"</t>
  </si>
  <si>
    <t xml:space="preserve">      -  Cat kilat Bee Brand</t>
  </si>
  <si>
    <t xml:space="preserve">      -  Brus kawat</t>
  </si>
  <si>
    <t xml:space="preserve">      -  Amplas</t>
  </si>
  <si>
    <t xml:space="preserve">      -  Skrap</t>
  </si>
  <si>
    <t xml:space="preserve">      -  Tiner</t>
  </si>
  <si>
    <t>Klg</t>
  </si>
  <si>
    <t xml:space="preserve">      -  Tukang cat 15 hari</t>
  </si>
  <si>
    <t>org</t>
  </si>
  <si>
    <t>Jumlah I</t>
  </si>
  <si>
    <t>Jumlah II</t>
  </si>
  <si>
    <t>Sembilan Juta Enam Ratus Lima Puluh Ribu Rupiah</t>
  </si>
  <si>
    <t>Suprianto, ST</t>
  </si>
  <si>
    <t>Pls. Kadiv. Transmisi Distribusi</t>
  </si>
  <si>
    <t>Tiga Puluh Sembilan Juta Tujuh Ratus Lima Ribu Rupiah</t>
  </si>
  <si>
    <t>LOKASI : BOOSTER PUMP RUMAH SUSUN</t>
  </si>
  <si>
    <t>8 Jan 2016</t>
  </si>
  <si>
    <t>7 Jan 2016</t>
  </si>
  <si>
    <t>22.00 - 01.00</t>
  </si>
  <si>
    <t xml:space="preserve">- Pengurasan Reservoir </t>
  </si>
  <si>
    <t xml:space="preserve">- Pengisian Reservoir </t>
  </si>
  <si>
    <t>01.00 - 04.00</t>
  </si>
  <si>
    <t>04.00</t>
  </si>
  <si>
    <t xml:space="preserve">Pompa beroperasi sesuai jadwal/kondisi kebutuhan air disuplay dari reservoir </t>
  </si>
  <si>
    <t>Medan,         Desember 2015</t>
  </si>
  <si>
    <t>Pada tanggal 7 Januari 2016 seluruh peralatan dan kelengkapan lainnya sudah berada dilokasi</t>
  </si>
  <si>
    <t>- Kabel NYM 1,5 x 50 m</t>
  </si>
  <si>
    <t>- Relay control dan socket terminal</t>
  </si>
  <si>
    <t>- Alarm level air penuh</t>
  </si>
  <si>
    <t>- Panel control local 20 x 15 x 30 cm</t>
  </si>
  <si>
    <t>- Pipa conduit cable</t>
  </si>
  <si>
    <t>- Terminal block TND</t>
  </si>
  <si>
    <t>Biaya material total I</t>
  </si>
  <si>
    <t>- Pemasangan device control ke pompa air input</t>
  </si>
  <si>
    <t>Dua puluh tujuh juta tiga puluh ribu rupiah</t>
  </si>
  <si>
    <t xml:space="preserve">      -  Kobold Hydroustatic Pressure Sensor</t>
  </si>
  <si>
    <t xml:space="preserve">         Model NTB - 131010</t>
  </si>
  <si>
    <t xml:space="preserve">      -  Kobold Digital Indicator</t>
  </si>
  <si>
    <t xml:space="preserve">         Model DAG - AXV 0200</t>
  </si>
  <si>
    <t xml:space="preserve">      -  Pemasangan sensor/display dan commisioning test </t>
  </si>
  <si>
    <t>Medan,        Januari 2016</t>
  </si>
  <si>
    <t>PENGADAAN DAN PEMASANGAN SENSOR DAN DISPLAY WATER LEVEL</t>
  </si>
  <si>
    <t>GARANSI 1 TAHUN DARI MULAI DIPASANG</t>
  </si>
  <si>
    <t>LOKASI: BOOSTES PUMP SIMALINGKAR, GAVERTA, SEI AGUL</t>
  </si>
  <si>
    <t>DAN MEDAN DENAI</t>
  </si>
  <si>
    <t xml:space="preserve">      -  Charge Battery </t>
  </si>
  <si>
    <t xml:space="preserve">        </t>
  </si>
  <si>
    <t xml:space="preserve">         WeldTech 15 A 24 Volt</t>
  </si>
  <si>
    <t>Tiga Juta Empat Ratus Ribu Rupiah</t>
  </si>
  <si>
    <t>Medan,        Februari 2016</t>
  </si>
  <si>
    <t>PENGGANTIAN CHARGE BATTERY GENSET</t>
  </si>
  <si>
    <t xml:space="preserve">PERBAIKAN PIPA DISCHARGE POMPA NO.1 </t>
  </si>
  <si>
    <t xml:space="preserve">      -  Bongkar pasang check valve Ø 200 mm ( k. malam)</t>
  </si>
  <si>
    <t xml:space="preserve">      -  Bongkar pasang butterfly  valve Ø 200 mm ( k. malam)</t>
  </si>
  <si>
    <t xml:space="preserve">      -  Bongkar pasang pipa discharge Ø 200 mm ( k. malam)</t>
  </si>
  <si>
    <t>Satu Juta Tiga Ratus Dua Puluh Lima Ribu Rupiah</t>
  </si>
  <si>
    <t>Syahrial , ST</t>
  </si>
  <si>
    <t>PEMBERSIHAN SAMPAH DAN PEMOTONGAN KAYU AKIBAT BANJIR KIRIMAN</t>
  </si>
  <si>
    <t>Lokasi : Jembatan Pipa Betonding Saluran Pengantar Sibolangit</t>
  </si>
  <si>
    <t>Upah Mandor (2 hari) @ Rp. 135.000</t>
  </si>
  <si>
    <t>Upah Tukang (2 hari) @ Rp. 135.000</t>
  </si>
  <si>
    <t>Upah Pekerja (2 hari) @ Rp. 90.000</t>
  </si>
  <si>
    <t>Rp. 270.000</t>
  </si>
  <si>
    <t>2 x Rp.135.000</t>
  </si>
  <si>
    <t>2 x Rp. 135.000</t>
  </si>
  <si>
    <t>2 x Rp. 90.000</t>
  </si>
  <si>
    <t>Rp. 180.000</t>
  </si>
  <si>
    <t>Sewa Chine Saw (1 hari) @ Rp. 200.000</t>
  </si>
  <si>
    <t>1 x Rp. 200.000</t>
  </si>
  <si>
    <t>Rp. 200.000</t>
  </si>
  <si>
    <t>Upah Operator Chine Saw (1 hari) @ Rp. 150.000</t>
  </si>
  <si>
    <t>1 x Rp. 150.000</t>
  </si>
  <si>
    <t>Bahan Bakar Minyak Campur untuk Chin Saw 10 ltr @ Rp. 10.000</t>
  </si>
  <si>
    <t>10 x Rp. 10.000</t>
  </si>
  <si>
    <t>Rp. 100.000</t>
  </si>
  <si>
    <t>Rp. 1.170.000</t>
  </si>
  <si>
    <t>Medan,    Maret 2016</t>
  </si>
  <si>
    <t>Tarif Perhitungan Pengawasan Crossing Pipa an. PDAM TIRTANADI</t>
  </si>
  <si>
    <t>dengan rincian sebagai berikut :</t>
  </si>
  <si>
    <t>Sewa 1 tahun</t>
  </si>
  <si>
    <t>Rp. 90.000.000</t>
  </si>
  <si>
    <t>PPN 10 %</t>
  </si>
  <si>
    <t>Rp. 9.000.000</t>
  </si>
  <si>
    <t>±</t>
  </si>
  <si>
    <t>Rp. 99.000.000</t>
  </si>
  <si>
    <t>Biaya Ukur / Administrasi</t>
  </si>
  <si>
    <t>Rp. 18.010.000</t>
  </si>
  <si>
    <t>Jumlah yang harus dibayar</t>
  </si>
  <si>
    <t>Rp. 117.010.000</t>
  </si>
  <si>
    <t>Kabid. Sistim Jaringan Zona I</t>
  </si>
  <si>
    <t xml:space="preserve">                Suprianto, ST</t>
  </si>
  <si>
    <t xml:space="preserve">    Medan, 02 Maret 2016</t>
  </si>
  <si>
    <t>PEMBERSIHAN SAMPAH DAN PEMOTONGAN KAYU</t>
  </si>
  <si>
    <t>LOKASI: JEMBATAN BETONDING SALURAN PENGANTAR</t>
  </si>
  <si>
    <t>Sewa Chine Saw (1 hari)</t>
  </si>
  <si>
    <t>Bahan Bakar Minyak untuk Chine Saw (Minyak Campur)</t>
  </si>
  <si>
    <t>liter</t>
  </si>
  <si>
    <t>Medan,        Maret 2016</t>
  </si>
  <si>
    <t>PERBAIKAN 1 UNIT FOOT VALVE Ø 600 MM</t>
  </si>
  <si>
    <t>Menaikan/Menurunkan Foot Valve Booster dengan Tadano</t>
  </si>
  <si>
    <t>Tiga Puluh Tujuh Juta Lima Ratus Ribu Empat Ratus Rupiah</t>
  </si>
  <si>
    <t>Kadiv. Transmisi Distirbusi</t>
  </si>
  <si>
    <t>Sembilan ratus delapan puluh ribu rupiah</t>
  </si>
  <si>
    <t>PEMBUATAN (TEMPAH) MATA PISAU POTONG</t>
  </si>
  <si>
    <t>pcs</t>
  </si>
  <si>
    <t>1. Rotary Cutter Wheel Include PIN Material KNL</t>
  </si>
  <si>
    <t>2. Roller Material 4340</t>
  </si>
  <si>
    <t>PEKERJAAN</t>
  </si>
  <si>
    <t>Rekondisi Plat Potong Pipa</t>
  </si>
  <si>
    <t>Empat Belas Juta Lima Ratus Ribu Rupiah</t>
  </si>
  <si>
    <t>Upah Tukang (2  orang}</t>
  </si>
  <si>
    <t xml:space="preserve">Upah Pekerja (4 orang) </t>
  </si>
  <si>
    <t>Orang</t>
  </si>
  <si>
    <t>BOOSTER PUMP MARTUBUNG DAN MABAR</t>
  </si>
  <si>
    <t xml:space="preserve">1. Tempa ventilasi udara reservoir </t>
  </si>
  <si>
    <t>1. Pemasangan Ventilasi ke Booster Pump</t>
  </si>
  <si>
    <t>PEMBUATAN (TEMPA) VENTILASI UDARA RESERVOIR</t>
  </si>
  <si>
    <t>Total biaya pelaksanaan</t>
  </si>
  <si>
    <t>PEMBELIAN TONG FIBER KAPASITAS 250 LITER</t>
  </si>
  <si>
    <t>BOOSTER PUMP SEJARAH DAN CADANGAN</t>
  </si>
  <si>
    <t>Total biaya</t>
  </si>
  <si>
    <t>2. Accesories (Kran dan pipa air)</t>
  </si>
  <si>
    <t>1. Tong Sodium Hypochlorine</t>
  </si>
  <si>
    <t>PC 6.10</t>
  </si>
  <si>
    <t>2. Pengecatan ventilasi udara (cat Epoxy)</t>
  </si>
  <si>
    <t xml:space="preserve">     Material steel plat  tebal : 4 mm</t>
  </si>
  <si>
    <t>3. Baut 5/8</t>
  </si>
  <si>
    <t>2. Baut 10</t>
  </si>
  <si>
    <t>1. Tempa Tutup Ventilasi</t>
  </si>
  <si>
    <t>Rp. 500.000</t>
  </si>
  <si>
    <t xml:space="preserve">      Material steel plat tebal : 4 mm</t>
  </si>
  <si>
    <t>2. Tempa Silinder ventilasi</t>
  </si>
  <si>
    <t>Rp. 450.000</t>
  </si>
  <si>
    <t>3. Tempa flange spigot</t>
  </si>
  <si>
    <t xml:space="preserve">Break Down </t>
  </si>
  <si>
    <t>Tempa Ventilasi Reservoir</t>
  </si>
  <si>
    <t>Rp. 1.400.000</t>
  </si>
  <si>
    <t>Dua juta delapan puluh ribu rupiah</t>
  </si>
  <si>
    <t>Medan,        April 2016</t>
  </si>
  <si>
    <t xml:space="preserve">    Merk Penguin Kapasitas 225 liter</t>
  </si>
  <si>
    <t>PERBAIKAN GEAR BOX VALVE NO.3</t>
  </si>
  <si>
    <t xml:space="preserve">      -  Bahan bakar minyak untuk pompa robin</t>
  </si>
  <si>
    <t>ltr</t>
  </si>
  <si>
    <t>PERBAIKAN PIPA DISCHARGE POMPA NO.2</t>
  </si>
  <si>
    <t>- Flange Ø 250 mm   P/N:10</t>
  </si>
  <si>
    <t>- Pipa Steel Ø 250 mm tebal: 6 mm</t>
  </si>
  <si>
    <t xml:space="preserve">- Pengelasan Flange Spigot Ø 250 mm </t>
  </si>
  <si>
    <t xml:space="preserve">REALISASI BIAYA PEKERJAAN </t>
  </si>
  <si>
    <t>- Bongkar pasang flange spigot Ø 250 mm</t>
  </si>
  <si>
    <t>3.532</t>
  </si>
  <si>
    <t>Medan,         April 2016</t>
  </si>
  <si>
    <t>Satu juta sembilan ratus sembilan puluh enam ribu rupiah</t>
  </si>
  <si>
    <t>- Pasang  flange  Ø 150 mm</t>
  </si>
  <si>
    <t>Satu juta seribu rupiah</t>
  </si>
  <si>
    <t xml:space="preserve">- Blind Flange Ø 150 mm   </t>
  </si>
  <si>
    <r>
      <t xml:space="preserve">      -  Pengangkatan pasir/lumpur reservoir tebal </t>
    </r>
    <r>
      <rPr>
        <u/>
        <sz val="12"/>
        <rFont val="Calibri"/>
        <family val="2"/>
      </rPr>
      <t>+</t>
    </r>
    <r>
      <rPr>
        <sz val="12"/>
        <rFont val="Calibri"/>
        <family val="2"/>
      </rPr>
      <t xml:space="preserve"> 55 cm (kerja malam)</t>
    </r>
  </si>
  <si>
    <t xml:space="preserve">      -  Pengurasan residu reservoir tebal 60 cm (kerja malam)</t>
  </si>
  <si>
    <t>PERBAIKAN PIPA DISCHARGE CADANGAN</t>
  </si>
  <si>
    <t>- Bongkar  pipa discharge Ø 150 mm</t>
  </si>
  <si>
    <t>Pembuatan Main Hole</t>
  </si>
  <si>
    <t>Pengurasan reservoir</t>
  </si>
  <si>
    <t xml:space="preserve">- Pembobokan lantai atas reservoir beton bertulang </t>
  </si>
  <si>
    <t xml:space="preserve">   Uk: 100 x 100 cm tebal : 30 Cm 1 tempat (Ls)</t>
  </si>
  <si>
    <t xml:space="preserve">                         - (0.30 x 1.40) x 4 = 1.68 m2</t>
  </si>
  <si>
    <r>
      <t xml:space="preserve">                         - (0.30 x 1) x 4       </t>
    </r>
    <r>
      <rPr>
        <u/>
        <sz val="11"/>
        <color indexed="8"/>
        <rFont val="Calibri"/>
        <family val="2"/>
      </rPr>
      <t xml:space="preserve">= 1.20 m2  +  </t>
    </r>
  </si>
  <si>
    <t xml:space="preserve">                                                               2.88 m2</t>
  </si>
  <si>
    <t>2.88 x 230,775  (PB 6.15)</t>
  </si>
  <si>
    <t xml:space="preserve">   Uk : 140 x 140  tebal : 30 cm  lebar : 20 cm</t>
  </si>
  <si>
    <t xml:space="preserve">   cor = (0.30 x 0.20) x 5.6</t>
  </si>
  <si>
    <t xml:space="preserve">          = 0.336 m3</t>
  </si>
  <si>
    <t xml:space="preserve">      -  Upah pekerja</t>
  </si>
  <si>
    <t>Htg</t>
  </si>
  <si>
    <t xml:space="preserve">      -  Upah operator</t>
  </si>
  <si>
    <t xml:space="preserve">      -  Kertas Pasir</t>
  </si>
  <si>
    <t xml:space="preserve">      -  Sewa mesin las 1 hari</t>
  </si>
  <si>
    <t xml:space="preserve">      -  Kawat las</t>
  </si>
  <si>
    <t xml:space="preserve">      -  Scrap</t>
  </si>
  <si>
    <t>Tujuh ratus lima puluh empat ribu rupiah</t>
  </si>
  <si>
    <t>O ring Swing Butterfly 400 x 50 mm</t>
  </si>
  <si>
    <t>Baut Uk : 3/4 x 4"</t>
  </si>
  <si>
    <t>Gear Butterfly Valve</t>
  </si>
  <si>
    <t>Bongkar pasang komponen Butterfly Valve Ø 400 mm</t>
  </si>
  <si>
    <t>Bongkar pasang komponen Butterfly Valve Ø 400 mm (Malam Hari)</t>
  </si>
  <si>
    <t>Medan,        Mei 2016</t>
  </si>
  <si>
    <t>Pipa Steel Ø 250 mm Sch 40 tebal 8 mm</t>
  </si>
  <si>
    <t xml:space="preserve">Flange Ø 250 mm </t>
  </si>
  <si>
    <t>Bolt/Nut   3/4 x 3" full draft</t>
  </si>
  <si>
    <t>Bongkar pasang pipa discharge</t>
  </si>
  <si>
    <t>Pengelasan flange ke pipa (3 x las)</t>
  </si>
  <si>
    <t>Pengelasan  pipa (2 x las)</t>
  </si>
  <si>
    <t>Penyetelan pipa</t>
  </si>
  <si>
    <t>Pengecatan (3 x cat)</t>
  </si>
  <si>
    <t>Biaya Pelaksanaan ( Kerja Malam)</t>
  </si>
  <si>
    <t>Pemotongan pipa Ø 250 mm (2 x potong)</t>
  </si>
  <si>
    <t>htg</t>
  </si>
  <si>
    <t>Tiga juta sembilan ratus lima puluh enam ribu rupiah</t>
  </si>
  <si>
    <t>- Bongkar  Butterfly Valve Ø 150 mm</t>
  </si>
  <si>
    <t>- Bongkar  Check Valve Ø 150 mm</t>
  </si>
  <si>
    <t>Medan,         Mei 2016</t>
  </si>
  <si>
    <t>PERBAIKAN WORM GEAR  BUTTERFLY VALVE Ø 250 mm</t>
  </si>
  <si>
    <t>1. Pembuatan (tempa) Worm Shaft Gear Box Butterfly Valve Ø 250 mm</t>
  </si>
  <si>
    <t>2. Pembuatan (tempa) Worm Gear, Gear Box Butterfly Valve Ø 250 mm</t>
  </si>
  <si>
    <t>RENCANA BIAYA PEKERJAAN</t>
  </si>
  <si>
    <t>PEMBERSIHAN RUANGAN POMPA</t>
  </si>
  <si>
    <t xml:space="preserve">LOKASI: BOOSTER PUMP CEMARA </t>
  </si>
  <si>
    <t>- Sapu ijuk gagang panjang</t>
  </si>
  <si>
    <t>- Sapu ijuk</t>
  </si>
  <si>
    <t>- brus kasar</t>
  </si>
  <si>
    <t>- Kain lap</t>
  </si>
  <si>
    <t>- Pel pendorong karet</t>
  </si>
  <si>
    <t>-  Buttefly Valve Ø 150 mm</t>
  </si>
  <si>
    <t>Medan,        Juni 2016</t>
  </si>
  <si>
    <t>Pembuatan Perancah</t>
  </si>
  <si>
    <t>Upah tukang perancah</t>
  </si>
  <si>
    <t>Tiga juta tujuh ratus dua puluh tiga ribu rupiah</t>
  </si>
  <si>
    <t>Enam belas juta sembilan ratus lima puluh tiga ribu rupiah</t>
  </si>
  <si>
    <t>PENGGANTIAN BUTTERFLY VALVE POMPA NO.3</t>
  </si>
  <si>
    <t>-  Buttefly Valve Ø 200 mm</t>
  </si>
  <si>
    <t>PERBAIKAN WATER LEVEL MANUAL</t>
  </si>
  <si>
    <t>-  Cup Ø 3"</t>
  </si>
  <si>
    <t>-  Pipa Ø 3"</t>
  </si>
  <si>
    <t>-  Cat Bee Brand Putih</t>
  </si>
  <si>
    <t>-  Cat Bee Brand Merah</t>
  </si>
  <si>
    <t>-  Kuas</t>
  </si>
  <si>
    <t>3. Bongkar pasang Worm Shaft Gear</t>
  </si>
  <si>
    <t>Medan,      Juni 2016</t>
  </si>
  <si>
    <t>Dua juta enam ratus empat puluh tiga ribu rupiah</t>
  </si>
  <si>
    <t xml:space="preserve">Shaft Butterfly Valve Ø 400 mm Uk: 30 x 800 mm </t>
  </si>
  <si>
    <t>Material Stainless Steel 316</t>
  </si>
  <si>
    <t>Medan,    Juni 2016</t>
  </si>
  <si>
    <t>-  Foot Valve Ø 250 mm</t>
  </si>
  <si>
    <t xml:space="preserve">      -  Bongkar pasang Flange spigot Ø 250 mm (kerja Malam)</t>
  </si>
  <si>
    <t xml:space="preserve">      -  Bongkar pasang Foot Valve Ø 250 mm (kerja Malam)</t>
  </si>
  <si>
    <t>Medan,        Juli 2016</t>
  </si>
  <si>
    <t>Empat ratus dua puluh ribu rupiah</t>
  </si>
  <si>
    <t xml:space="preserve">    -  Brush ijuk</t>
  </si>
  <si>
    <t xml:space="preserve">      -  Upah Tukang</t>
  </si>
  <si>
    <t>Org</t>
  </si>
  <si>
    <t xml:space="preserve">      -  Upah Pekerja</t>
  </si>
  <si>
    <t>Empat ratus tujuh puluh tiga ribu rupiah</t>
  </si>
  <si>
    <t>Medan,        Agustus 2016</t>
  </si>
  <si>
    <t xml:space="preserve">          2 pekerja</t>
  </si>
  <si>
    <t xml:space="preserve">          1 tukang + 1 pekerja</t>
  </si>
  <si>
    <t>Tujuh ratus tiga puluh lima ribu rupiah</t>
  </si>
  <si>
    <t>Medan,     Agustus 2016</t>
  </si>
  <si>
    <t>LOKASI : BOOSTER PUMP MABAR</t>
  </si>
  <si>
    <t>12 Agustus 2016</t>
  </si>
  <si>
    <t>11 Agustus 2016</t>
  </si>
  <si>
    <t>Pada tanggal 11 Agustus 2016 seluruh peralatan dan kelengkapan lainnya sudah berada dilokasi</t>
  </si>
  <si>
    <t>Medan,         Agustus 2016</t>
  </si>
  <si>
    <t>- Sewa Scafolding (3 set)</t>
  </si>
  <si>
    <t>hr</t>
  </si>
  <si>
    <t xml:space="preserve">      -  Upah pekerja/3 org</t>
  </si>
  <si>
    <t>- Deterjen Rinso 800 gr</t>
  </si>
  <si>
    <t>PENGGANTIAN CHECK VALVE POMPA NO.3</t>
  </si>
  <si>
    <t xml:space="preserve">      -  Upah tukang</t>
  </si>
  <si>
    <t>Tiga ratus lima belas ribu rupiah</t>
  </si>
  <si>
    <t>Medan,       Agustus 2016</t>
  </si>
  <si>
    <t>Satu juta dua ratus lima puluh tiga ribu rupiah</t>
  </si>
  <si>
    <t>RESERVOIR I DAN II</t>
  </si>
  <si>
    <t>PERBAIKAN PIPA DISCHARGE POMPA NO.3</t>
  </si>
  <si>
    <t>LOKASI: BOOSTER PUMP CEMARA</t>
  </si>
  <si>
    <t>Baut 3/4 x 3"</t>
  </si>
  <si>
    <t>Adi Supratman, ST</t>
  </si>
  <si>
    <t>Pls. Kadiv. Perencanaan</t>
  </si>
  <si>
    <t>LOKASI: BOOSTER PUMP GARU I DAN MENARA</t>
  </si>
  <si>
    <t>2. Pengurasan/pencucian reservoir Uk: 42 x 16.5 x 5 m ( reservoir I )</t>
  </si>
  <si>
    <t>3. Pengurasan/pencucian reservoir Uk: 42 x 16.5 x 5 m ( reservoir II )</t>
  </si>
  <si>
    <t>4. Pembersihan saluran disekitar parit pekarangan</t>
  </si>
  <si>
    <t>Medan,        September 2016</t>
  </si>
  <si>
    <r>
      <t xml:space="preserve">      -  Pengangkatan pasir/lumpur reservoir tebal </t>
    </r>
    <r>
      <rPr>
        <u/>
        <sz val="14"/>
        <rFont val="Calibri"/>
        <family val="2"/>
      </rPr>
      <t>+</t>
    </r>
    <r>
      <rPr>
        <sz val="14"/>
        <rFont val="Calibri"/>
        <family val="2"/>
      </rPr>
      <t xml:space="preserve"> 30 cm (kerja malam)</t>
    </r>
  </si>
  <si>
    <t>PERBAIKAN PIPA DISCHARGE Ø 200 MM POMPA NO.5</t>
  </si>
  <si>
    <t xml:space="preserve">-  Flange Steel Ø 200 mm </t>
  </si>
  <si>
    <t>-  Bend Steel Ø 200 x 90°</t>
  </si>
  <si>
    <t>-  Pipa Steel Ø 200 mm</t>
  </si>
  <si>
    <t>Pembuatan Bend Flange Ø 200 mm</t>
  </si>
  <si>
    <t>-  Pembuatan bend flange Ø 200 mm</t>
  </si>
  <si>
    <t>Biaya Pemasangan</t>
  </si>
  <si>
    <t>-  Upah Tukang</t>
  </si>
  <si>
    <t>-  Upah Pekerja</t>
  </si>
  <si>
    <t>Pemotongan pipa</t>
  </si>
  <si>
    <t>1,256 x 53.325</t>
  </si>
  <si>
    <t>Pengelasan pipa joint bend (3 x las)</t>
  </si>
  <si>
    <t>(2 x 3,14 x 0,20) x 53.325</t>
  </si>
  <si>
    <t xml:space="preserve">(3 x 3,14 x 0,20) x 3.035,1 </t>
  </si>
  <si>
    <t>1,86 x 3.035,1</t>
  </si>
  <si>
    <t>5.645,286</t>
  </si>
  <si>
    <t>Pengelasan 2 buah flange steel (3 x las)</t>
  </si>
  <si>
    <t>2 x (3 x 3,14 x 0,20) x 3.035,1</t>
  </si>
  <si>
    <t>3,768 x 3.035,1</t>
  </si>
  <si>
    <t>11.436,25</t>
  </si>
  <si>
    <t>Dua juta sembilan ratus tujuh puluh satu ribu rupiah</t>
  </si>
  <si>
    <t>TOTAL</t>
  </si>
  <si>
    <t>84.057,73</t>
  </si>
  <si>
    <t>PEMBUATAN BEND FLANGE Ø 200 MM</t>
  </si>
  <si>
    <t>LOKASI: BOOSTER PUMP LAUBENG KLEWANG, GARU I, SEJARAH, GAVERTA DAN RUMAH SUSUN</t>
  </si>
  <si>
    <t xml:space="preserve">      -  Upah Tukang cat 18 hari</t>
  </si>
  <si>
    <t>PERBAIKAN BAK MAGNETIC FLOW Ø 400 MM</t>
  </si>
  <si>
    <t xml:space="preserve">      -  Bongkar penutup bak</t>
  </si>
  <si>
    <t xml:space="preserve">      -  Penambahan dinding bak meter tebal 10 cm</t>
  </si>
  <si>
    <t xml:space="preserve">      -  Bekisting untuk dinding</t>
  </si>
  <si>
    <t>Jumlah Pelaksanaan</t>
  </si>
  <si>
    <t>1. Pembuatan (tempa) Worm Shaft Gear Box Butterfly Valve Ø 200 mm</t>
  </si>
  <si>
    <t>2. Pembuatan (tempa) Worm Gear, Gear Box Butterfly Valve Ø 200 mm</t>
  </si>
  <si>
    <t>Ir. Abdul Hakim Hsb</t>
  </si>
  <si>
    <t>PERBAIKAN WORM GEAR  BUTTERFLY VALVE Ø 200 mm POMPA NO.2</t>
  </si>
  <si>
    <t>-  Upah Tukang ( 2 hari )</t>
  </si>
  <si>
    <t>-  Upah Pekerja ( 2 hari )</t>
  </si>
  <si>
    <t>-  Double Air Valve Ø 3" ( hari pertama )</t>
  </si>
  <si>
    <t>PENGGANTIAN DOUBLE AIR VALVE Ø 3" DAN 6"</t>
  </si>
  <si>
    <t>-  Double Air Valve Ø 6" ( hari kedua )</t>
  </si>
  <si>
    <t>Medan,       Oktober 2016</t>
  </si>
  <si>
    <t>Enam ratus tiga puluh ribu rupiah</t>
  </si>
  <si>
    <t>M³</t>
  </si>
  <si>
    <t>PB 6.20</t>
  </si>
  <si>
    <t>PB.6.4.A</t>
  </si>
  <si>
    <t>Medan,         Oktober  2016</t>
  </si>
  <si>
    <t>Sepuluh juta dua ratus ribu ribu rupiah</t>
  </si>
  <si>
    <t xml:space="preserve">      -  Dewatering ( 1 Hari )</t>
  </si>
  <si>
    <t>PERBAIKAN SALURAN DISCHARGE POMPA NO.5 BP. GARU I</t>
  </si>
  <si>
    <t>PENGGANTIAN BEND FLANGE STEEL Ø 200 X 90°</t>
  </si>
  <si>
    <t>LOKASI BOOSTER PUMP GARU I</t>
  </si>
  <si>
    <t>Bend Falnge Steel Ø 200 x 90°</t>
  </si>
  <si>
    <t>Rubber packing tebal=3 mm</t>
  </si>
  <si>
    <t>Bolt &amp; Nut 5/8 x 3"</t>
  </si>
  <si>
    <t>Stock gudang Cabang Medan Kota</t>
  </si>
  <si>
    <t>Sewa Escafolding (perancah)</t>
  </si>
  <si>
    <t>Upah Tukang (kerja malam)</t>
  </si>
  <si>
    <t>Upah Pekerja (kerja malam)</t>
  </si>
  <si>
    <t>Medan,      Oktober 2016</t>
  </si>
  <si>
    <t>Pembuatan All Flange Bend Steel Ø 200 x 90°</t>
  </si>
  <si>
    <t>(TEMPA)</t>
  </si>
  <si>
    <t>1. Pipa Steel Hitam Ø 200 mm tebal = 6.35 mm</t>
  </si>
  <si>
    <t>2. Bend Steel Ø 200 mm</t>
  </si>
  <si>
    <t>3. Flange Steel Ø 200 mm</t>
  </si>
  <si>
    <t>SUB TOTAL I</t>
  </si>
  <si>
    <t>1. Pemotongan pipa steel Ø 200 mm ( 2x )</t>
  </si>
  <si>
    <t>2. Pengelasan pipa Ø 200 mm ke bend steel Ø 200 mm ( 2x )</t>
  </si>
  <si>
    <t>3. Pengelasan bend steel ke flange steel Ø 200 mm ( 6x )</t>
  </si>
  <si>
    <t>4. Gerinda/Finishing ( 3x )</t>
  </si>
  <si>
    <t>5. Pengecatan</t>
  </si>
  <si>
    <t>PC 6.12</t>
  </si>
  <si>
    <t>PC 6.11</t>
  </si>
  <si>
    <t>SUB TOTAL II</t>
  </si>
  <si>
    <t>DIBULATKAN</t>
  </si>
  <si>
    <t>Tiga juta sembilan ratus tiga puluh delapan ribu rupiah</t>
  </si>
  <si>
    <t>LOKASI BOOSTER PUMP MENARA</t>
  </si>
  <si>
    <t>PERBAIKAN SILANG 4 DAN SHAFT GATE VALVE POMPA NO.4 (TEMPA)</t>
  </si>
  <si>
    <t>Shaft Stainless Steel Full Drat Ø 250 mm Panjang 50 cm</t>
  </si>
  <si>
    <t>Silang 4 material Bronze</t>
  </si>
  <si>
    <t xml:space="preserve">Upah Tukang </t>
  </si>
  <si>
    <t>Upah Pekerja</t>
  </si>
  <si>
    <t>Tiga juta empat ratus tujuh puluh dua ribu rupiah</t>
  </si>
  <si>
    <t>Medan,         Oktober 2016</t>
  </si>
  <si>
    <t>PENGGANTIAN BUTTERFLY VALVE Ø 6"</t>
  </si>
  <si>
    <t>-  Butterfly valve Ø 6"</t>
  </si>
  <si>
    <t xml:space="preserve">-  Upah Tukang </t>
  </si>
  <si>
    <t xml:space="preserve">-  Upah Pekerja </t>
  </si>
  <si>
    <t xml:space="preserve">PEMASANGAN GROUNDING </t>
  </si>
  <si>
    <t>Grounding Rod @ 4 meter</t>
  </si>
  <si>
    <t>Pipa Condult E19</t>
  </si>
  <si>
    <t>Pemasangan grounding</t>
  </si>
  <si>
    <t>Medan,       November 2016</t>
  </si>
  <si>
    <t>Medan,         November 2016</t>
  </si>
  <si>
    <t>PERBAIKAN WATER LEVEL DIGITAL</t>
  </si>
  <si>
    <t>Perbaikan level hydroustatic</t>
  </si>
  <si>
    <t>Dua juta lima ratus ribu rupiah</t>
  </si>
  <si>
    <t>PERBAIKAN PIPA HEADER POMPA NO.1</t>
  </si>
  <si>
    <t>Bolt &amp; Nuts 5/8 x 3"</t>
  </si>
  <si>
    <t>Rubber Packing t=3mm</t>
  </si>
  <si>
    <t>Bend Flange Steel Ø 6"</t>
  </si>
  <si>
    <t>Tempa</t>
  </si>
  <si>
    <t>Stock Gudang Cabang Diski</t>
  </si>
  <si>
    <t>2. Flange Steel Ø 6"</t>
  </si>
  <si>
    <t>PERBAIKAN BUTTERFLY VALVE Ø 400 MM</t>
  </si>
  <si>
    <t>Swing Butterfly Valve Ø 400 mm (Tempa)</t>
  </si>
  <si>
    <t>Medan,        November 2016</t>
  </si>
  <si>
    <t>Dua ratus dua puluh lima ribu rupiah</t>
  </si>
  <si>
    <t>Dua Puluh Tiga Juta Tujuh Puluh Delapan Ribu Rupiah</t>
  </si>
  <si>
    <t>1. Pengelasan pipa steel ke flange steel 6" ( 2 Buah )</t>
  </si>
  <si>
    <t>2. Gerinda/Finishing ( 3x )</t>
  </si>
  <si>
    <t>3. Pengecatan</t>
  </si>
  <si>
    <t>PERBAIKAN GEAR  BUTTERFLY VALVE Ø 250 mm POMPA NO.2</t>
  </si>
  <si>
    <t>Medan,      November 2016</t>
  </si>
  <si>
    <t>Dua juta empat ratus dua puluh delapan ribu rupiah</t>
  </si>
  <si>
    <t>PERBAIKAN SPOEL PIECE  POMPA NO.2</t>
  </si>
  <si>
    <t>Spoel Piece Ø 6"</t>
  </si>
  <si>
    <t>Pembuatan Spoel Piece Ø 6"</t>
  </si>
  <si>
    <t xml:space="preserve">      -  Cat kilat Bee Brand 1 Kg</t>
  </si>
  <si>
    <t>Kabel Grounding 16 mm</t>
  </si>
  <si>
    <t>Empat Juta seratus enam puluh ribu rupiah</t>
  </si>
  <si>
    <t xml:space="preserve">5. Perancang </t>
  </si>
  <si>
    <t>Medan,     November 2016</t>
  </si>
  <si>
    <t>Empat puluh dua juta delapan ratus empat puluh delapan ribu rupiah</t>
  </si>
  <si>
    <t>3. Upah bongkar pasang Worm Shaft Gear</t>
  </si>
  <si>
    <t>Sepuluh Juta Lima Ratus Empat Puluh Delapan Ribu Rupiah</t>
  </si>
  <si>
    <t>2 lokasi ( Reservoir I dan II)</t>
  </si>
  <si>
    <t>Tiga puluh juta empat  ratus lima ribu tujuh ratus rupiah</t>
  </si>
  <si>
    <t>Medan,       Desember 2016</t>
  </si>
  <si>
    <t>Dua juta tiga puluh satu ribu rupiah</t>
  </si>
  <si>
    <t>Rubber Packing 5 mm</t>
  </si>
  <si>
    <t>Bongkar pasang pipa</t>
  </si>
  <si>
    <t>Foto Dokumentasi</t>
  </si>
  <si>
    <t>Medan,         Desember 2016</t>
  </si>
  <si>
    <t>Satu juta lima ratus delapan puluh tiga ribu rupiah</t>
  </si>
  <si>
    <t>Terminal Block Vaking gronad 16 mm legsand</t>
  </si>
  <si>
    <t>Flange Ø 8" P/N 10</t>
  </si>
  <si>
    <t>Bend Steel 8" x 45°</t>
  </si>
  <si>
    <t>Pengecatan</t>
  </si>
  <si>
    <t>Pipa steel 8" T= 6.35 mm</t>
  </si>
  <si>
    <t>Pemotongan pipa steel Ø 8" (MH) 2x</t>
  </si>
  <si>
    <t>Pengelasan pipa discharge 8" (MH) 1.5x</t>
  </si>
  <si>
    <t>Pengelasan  flange elbow8" (MH) 3x</t>
  </si>
  <si>
    <t>Tiga Juta Dua Ratus Tiga Belas Ribu rupiah</t>
  </si>
  <si>
    <t>Medan,      Desember 2016</t>
  </si>
  <si>
    <t>Satu juta sembilan ratus tujuh puluh ribu rupiah</t>
  </si>
  <si>
    <t>1. Bend Steel Ø 6" x 90°</t>
  </si>
  <si>
    <t>3. Pipa Steel Ø 6"</t>
  </si>
  <si>
    <t>Pembuatan  Bend Flange Steel Ø 6" x 90°</t>
  </si>
  <si>
    <t>Medan,       Januari 2017</t>
  </si>
  <si>
    <t>1. Pemotongan pipa steel Ø 6" ( 2x )</t>
  </si>
  <si>
    <t>5. Penyetelan bend Flange stell 6" x 90 mm</t>
  </si>
  <si>
    <t>6. Pengecatan</t>
  </si>
  <si>
    <t>3. Pengelasan bend steel ke pipa steel 6" (1,5x)</t>
  </si>
  <si>
    <t>2. Pengelasan bend steel ke flange steel 6" (6x)</t>
  </si>
  <si>
    <t>4. Pengelasan flange steel ke pipa steel 6" (6x)</t>
  </si>
  <si>
    <t>Stock Gudang Cabang Medan Denai</t>
  </si>
  <si>
    <t>PENGGANTIAN CHECK VALVE Ø 6" POMPA NO.2</t>
  </si>
  <si>
    <t>LOKASI: BOOSTER PUMP GAPERTA</t>
  </si>
  <si>
    <t>Check Valve Ø 6"</t>
  </si>
  <si>
    <t>PERBAIKAN SPOEL PIECE  POMPA NO.1</t>
  </si>
  <si>
    <t>Stock Gudang Cabang Medan kota</t>
  </si>
  <si>
    <t>Satu juta empat ratus delapan puluh tujuh ribu sembilan ratus rupiah ,-</t>
  </si>
  <si>
    <t>Butterfly valve Ø 6"</t>
  </si>
  <si>
    <t>Stock Gudang Cabang Medan Kota</t>
  </si>
  <si>
    <t>PENGGANTIAN BUTTERFLY  Ø 6" POMPA NO.2</t>
  </si>
  <si>
    <t xml:space="preserve">Upah Tukang ( Kerja Malam ) </t>
  </si>
  <si>
    <t>Upah Pekerja ( Kerja Malam )</t>
  </si>
  <si>
    <t>4. Pengecatan</t>
  </si>
  <si>
    <t>3. Penyetelan Spool Piece</t>
  </si>
  <si>
    <t>Upah Pekerja ( Kerja malam )</t>
  </si>
  <si>
    <t>Lima Ratus sembilan puluh satu ribu sembilan ratus rupiah</t>
  </si>
  <si>
    <t>Tiga ratus sembilan puluh satu ribu sembilan ratus rupiah ,-</t>
  </si>
  <si>
    <t xml:space="preserve">      (3.14x0.1524x1.5x2x2)</t>
  </si>
  <si>
    <t>Spoel Piece Ø 6" Schedule 40</t>
  </si>
  <si>
    <t>3. Penyetelan spol piece</t>
  </si>
  <si>
    <t>1. Pipa Steel Ø 6" Schedule 40 ( 0.18x27.7x11000)</t>
  </si>
  <si>
    <t>17-02-2017</t>
  </si>
  <si>
    <t>Pompa Booster Beroperasi Normal</t>
  </si>
  <si>
    <t xml:space="preserve">    - Pengaturan Valve Air Masuk Reservoir</t>
  </si>
  <si>
    <t>16-02-2017</t>
  </si>
  <si>
    <t>09.00 - 14.00</t>
  </si>
  <si>
    <t>14.00 - 20.00</t>
  </si>
  <si>
    <t>1. Pelaksanaan Pekerjaan Cell 1</t>
  </si>
  <si>
    <t>2. Pelaksanaan Pekerjaan Cell 2</t>
  </si>
  <si>
    <t>20.00 - 22.00</t>
  </si>
  <si>
    <t xml:space="preserve">    - Pembersihan channel </t>
  </si>
  <si>
    <t>22.00 - 05.00</t>
  </si>
  <si>
    <t>SUMP PUMP               Ø 4" dan 6"</t>
  </si>
  <si>
    <t>Pompa Booster OFF/Mati</t>
  </si>
  <si>
    <t>1. Pipa Steel Ø 6" Schedule  40 (0.35x27.7x13.500)</t>
  </si>
  <si>
    <t>Satu juta lima ratus tujuh puluh satu ribu empat ratus rupiah</t>
  </si>
  <si>
    <t>Medan,   9 Februari  2017</t>
  </si>
  <si>
    <t>Medan,   09 Februari  2017</t>
  </si>
  <si>
    <t>Tukang</t>
  </si>
  <si>
    <t>Medan,        Juni 2017</t>
  </si>
  <si>
    <t xml:space="preserve">      -  Perancah Tiang katrol</t>
  </si>
  <si>
    <t>Satu juta dua ratus sembilan puluh tujuh ribu lima ratus rupiah</t>
  </si>
  <si>
    <t>PENGGANTIAN FOOT VALVE Ø 250 MM POMPA NO.3</t>
  </si>
  <si>
    <t>Plh. Kadiv. Transmisi Distribusi</t>
  </si>
  <si>
    <t>Penyikatan dinding dan tiang Reservoir</t>
  </si>
  <si>
    <t>Luas dinding reservoir I  Uk : 60 x 9 x 6 meter</t>
  </si>
  <si>
    <t>panjang  2 dinding</t>
  </si>
  <si>
    <t>60 x 6 x 2</t>
  </si>
  <si>
    <t>lebar 2 dinding</t>
  </si>
  <si>
    <t>9 x 6 x 2</t>
  </si>
  <si>
    <t>dinding penyekat 5 dinding</t>
  </si>
  <si>
    <t>6 x 6 x 2 x 5</t>
  </si>
  <si>
    <t>tiang reservoir 6 tiang</t>
  </si>
  <si>
    <t>0.4 x 6 x 4 x 6</t>
  </si>
  <si>
    <t>TOTAL 2 RESERVOIR</t>
  </si>
  <si>
    <t>Kadiv. Perencanaan Air Minum</t>
  </si>
  <si>
    <t>Muhri Fepri Iswanto</t>
  </si>
  <si>
    <t>kg</t>
  </si>
  <si>
    <t>Lem pipa PVC</t>
  </si>
  <si>
    <t>Besi Plat strip  tebal 10mm  u/ pengikat samping</t>
  </si>
  <si>
    <t>Kawat las 2mm</t>
  </si>
  <si>
    <t>Batu gerinda + potong</t>
  </si>
  <si>
    <t>Medan,     Juni 2018</t>
  </si>
  <si>
    <t>LOKASI: BOOSTER PUMP SEJARAH DAN PADANG BULAN</t>
  </si>
  <si>
    <t>Abdi Sucipto</t>
  </si>
  <si>
    <t>Julfan Fadhli</t>
  </si>
  <si>
    <t>Asesoris lain (puli, tali nilon, anting galvanis, besi pemberat)</t>
  </si>
  <si>
    <t xml:space="preserve">Plat Tapak Besi Dia. 34.5 cm tebal 5 mm </t>
  </si>
  <si>
    <t>cat kilat bee brand 1000</t>
  </si>
  <si>
    <t>klg</t>
  </si>
  <si>
    <t>Pipa 6"  PVC untuk sarungan</t>
  </si>
  <si>
    <t>Pipa 3" PVC</t>
  </si>
  <si>
    <t>DOP 3" PVC</t>
  </si>
  <si>
    <t>Pipa Galvanis 1 1/2 x 2mm untuk tiang</t>
  </si>
  <si>
    <t>PENGADAAN POMPA SUBMERSIBLE ELEKTRIK PORTABEL</t>
  </si>
  <si>
    <t>URAIAN PEKERJAAN / MATERIAL</t>
  </si>
  <si>
    <t>Pompa Submersible Tsurumi HSZ3.75S (otomatis) u/ air bersih dan kotor
Tegangan : 220-240 V (1 phase)
Daya : 750 Watt
Capacity : 1800 liter/jam</t>
  </si>
  <si>
    <t>Selang Terpal 3" - 50 meter</t>
  </si>
  <si>
    <t>gulung</t>
  </si>
  <si>
    <t>Lima juta lima puluh ribu rupiah</t>
  </si>
  <si>
    <t>Iwan Hamsar</t>
  </si>
  <si>
    <t>Pekerja</t>
  </si>
  <si>
    <t xml:space="preserve">Orang </t>
  </si>
  <si>
    <t>dua juta tujuh ratus lima puluh dua ribu rupiah</t>
  </si>
  <si>
    <t>Medan,     Juli 2018</t>
  </si>
  <si>
    <t>081269820927 rizal</t>
  </si>
  <si>
    <t xml:space="preserve">PEKERJAAN </t>
  </si>
  <si>
    <t>:  BOOSTER PUMP SEJARAH, MABAR, CEMARA, DAN SIMALINGKAR</t>
  </si>
  <si>
    <t>:  PERBAIKAN TUTUP VENTILASI RESERVOIR</t>
  </si>
  <si>
    <t>Tutup Ventilasi Reservoir (bahan PVC)
- Tinggi 40 cm, Dia. Tapak 14", Dia. Topi 12"
- BP Sejarah (5 pcs), BP Mabar (2 pcs), BP Cemara (5 pcs), BP Simalingkar (1 pcs)</t>
  </si>
  <si>
    <t>Tapak dudukan tutup ventilasi
- Ukuran 35cm x 35cm x 8cm
- Bahan Semen
- Untuk lokasi BP Sejarah</t>
  </si>
  <si>
    <t>delapan juta tujuh ratus dua puluh lima ribu rupiah</t>
  </si>
  <si>
    <t>Material lain (semen, baut, lem Dexton)</t>
  </si>
  <si>
    <t>:  BOOSTER PUMP MEDAN DENAI &amp; GAPERTA</t>
  </si>
  <si>
    <t>Lokasi BP Medan Denai</t>
  </si>
  <si>
    <t>A</t>
  </si>
  <si>
    <t>mtr</t>
  </si>
  <si>
    <t>Rubber Packing t = 5 mm</t>
  </si>
  <si>
    <t>Pekerjaan Perbaikan Bocor Outlet</t>
  </si>
  <si>
    <t>- Sewa Katrol</t>
  </si>
  <si>
    <t>- Penerangan</t>
  </si>
  <si>
    <t>- Bongkar Pasang Flange</t>
  </si>
  <si>
    <t xml:space="preserve">- Pengelasan pipa ke header </t>
  </si>
  <si>
    <t>Mlm</t>
  </si>
  <si>
    <t>- Sewa Scaffolding (perancah)</t>
  </si>
  <si>
    <t>- Pengelasan Flange</t>
  </si>
  <si>
    <t>B</t>
  </si>
  <si>
    <t>Lokasi BP Gaperta</t>
  </si>
  <si>
    <t>Medan,     Agustus 2018</t>
  </si>
  <si>
    <t>MCB 6 A Schneider</t>
  </si>
  <si>
    <t>Selcon Photo Control 10 A / 220V</t>
  </si>
  <si>
    <t>:  BOOSTER PUMP LAU BENG KLEWANG DAN MABAR</t>
  </si>
  <si>
    <t>LED Flood Light Hannochs 100 Watt / 220 Vac
- LB Klewang (2 pcs)
- Mabar (2 pcs)</t>
  </si>
  <si>
    <t xml:space="preserve"> Pipa Steel Ø 150 mm 
</t>
  </si>
  <si>
    <t xml:space="preserve">- Pemotongan Pipa Ø 150 mm </t>
  </si>
  <si>
    <t xml:space="preserve">Flange Steel Ø 150 mm
 Flange Steel Ø 250 mm </t>
  </si>
  <si>
    <t>Material lain (Fischer, Paku klem, Isolasi, Steker)</t>
  </si>
  <si>
    <t>Iwan Hamsar Siregar</t>
  </si>
  <si>
    <t>:  PERBAIKAN PENERANGAN LINGKUNGAN BOOSTER PUMP</t>
  </si>
  <si>
    <t>:  PERBAIKAN KEBOCORAN PIPA OUTLET</t>
  </si>
  <si>
    <t xml:space="preserve"> Flange Bend Steel Ø 150 mm 
</t>
  </si>
  <si>
    <t>Lima  juta empat puluh lima ribu rupiah</t>
  </si>
  <si>
    <t>Pengecatan Tangki Solar</t>
  </si>
  <si>
    <t>dt</t>
  </si>
  <si>
    <t>: diameter manhole</t>
  </si>
  <si>
    <t>tt</t>
  </si>
  <si>
    <t>: tinggi manhole</t>
  </si>
  <si>
    <t>D</t>
  </si>
  <si>
    <t>: diameter tangki utama</t>
  </si>
  <si>
    <t>P</t>
  </si>
  <si>
    <t>: panjang tangki utama</t>
  </si>
  <si>
    <t>tk</t>
  </si>
  <si>
    <t>: tinggi / panjang kaki</t>
  </si>
  <si>
    <t>Lk</t>
  </si>
  <si>
    <t>: lebar kaki</t>
  </si>
  <si>
    <t>Booster</t>
  </si>
  <si>
    <t>Luas permukaan Tangki</t>
  </si>
  <si>
    <t>= (∏.dt.tt) +  (∏.(½.dt)²)</t>
  </si>
  <si>
    <t>=  (∏.D.P) +  2 (∏(½ D)²)</t>
  </si>
  <si>
    <t>Luasan kaki - profil H</t>
  </si>
  <si>
    <t>pk</t>
  </si>
  <si>
    <t>tp</t>
  </si>
  <si>
    <t>: tebal profil kaki</t>
  </si>
  <si>
    <t>=  4 ((2.pk.Lk) + (4.pk.tp))</t>
  </si>
  <si>
    <t>Luas permukaan manhole</t>
  </si>
  <si>
    <t>Tangki</t>
  </si>
  <si>
    <t>Kaki</t>
  </si>
  <si>
    <t>M Hol</t>
  </si>
  <si>
    <t>Luas Permukaan (m²)</t>
  </si>
  <si>
    <t>Pasar 4</t>
  </si>
  <si>
    <t>Sejarah</t>
  </si>
  <si>
    <t>Gaperta</t>
  </si>
  <si>
    <t>* satuan dalam meter</t>
  </si>
  <si>
    <t>Volume : pi.r.r.P</t>
  </si>
  <si>
    <t>L B Klewang</t>
  </si>
  <si>
    <t>Tuasan</t>
  </si>
  <si>
    <t>Garu</t>
  </si>
  <si>
    <t>Marelan</t>
  </si>
  <si>
    <t>model oval</t>
  </si>
  <si>
    <t>Luas Elips</t>
  </si>
  <si>
    <t>=  ∏.½D.½T</t>
  </si>
  <si>
    <t>T</t>
  </si>
  <si>
    <t>=  (∏.(½ D+½T) . P ) + (∏.½D.½T)</t>
  </si>
  <si>
    <t>underground</t>
  </si>
  <si>
    <t>Medan Denai</t>
  </si>
  <si>
    <t>Sei Agul</t>
  </si>
  <si>
    <t>6000x2</t>
  </si>
  <si>
    <t>Vol Cn</t>
  </si>
  <si>
    <t>:  PERBAIKAN TANGKI SDIC</t>
  </si>
  <si>
    <t>:  BOOSTER PUMP PASAR 4 - PADANG BULAN</t>
  </si>
  <si>
    <t>Tangki timbun  SDIC kapasitas 1000 liter. 
Material fiber dengan rangka baja ringan</t>
  </si>
  <si>
    <t>Ball valve 1/2" ONDA</t>
  </si>
  <si>
    <t>Reducer PVC 2½" x 1/2"</t>
  </si>
  <si>
    <t>Pipa PVC 1/2"</t>
  </si>
  <si>
    <t>Lem pipa isi 60 gram merk Isoplast</t>
  </si>
  <si>
    <t xml:space="preserve">Kit. Display PMAG50 SEA
Ordercode:  50101831
</t>
  </si>
  <si>
    <t>Biaya Pemasangan, Resetting</t>
  </si>
  <si>
    <t>Sembilan juta lima ratus tujuh puluh tiga ribu rupiah</t>
  </si>
  <si>
    <t>:  PERBAIKAN DISPLAY FLOWMETER INLET</t>
  </si>
  <si>
    <t>:  BOOSTER PUMP CEMARA</t>
  </si>
  <si>
    <t>LOKASI: BOOSTER PUMP SEI AGUL DAN MARELAN</t>
  </si>
  <si>
    <t>Kabel NYYHY Supreme 2 x 2.5mm (1 roll = 50 m)</t>
  </si>
  <si>
    <t>Tukang (1 tukang, 2 hari kerja)</t>
  </si>
  <si>
    <t>Pekerja (2 pekerja, 2 hari kerja)</t>
  </si>
  <si>
    <t>Tujuh juta empat ratus sembilan puluh empat ribu rupiah</t>
  </si>
  <si>
    <t>model berdiri</t>
  </si>
  <si>
    <t>Sikat Besi</t>
  </si>
  <si>
    <t>Luas</t>
  </si>
  <si>
    <t>Kebutuhan</t>
  </si>
  <si>
    <t>Cat (kg)</t>
  </si>
  <si>
    <t>Amplas</t>
  </si>
  <si>
    <t>(lembar)</t>
  </si>
  <si>
    <t>Pelaksanaan (hari)</t>
  </si>
  <si>
    <t>Persiapan</t>
  </si>
  <si>
    <t>Kuas 2"</t>
  </si>
  <si>
    <t>Ember hitam dia. 30 cm</t>
  </si>
  <si>
    <t>Sabut cuci jaring + stainless</t>
  </si>
  <si>
    <t>Kain Lap</t>
  </si>
  <si>
    <t>(buah)</t>
  </si>
  <si>
    <t>Kuas 5"</t>
  </si>
  <si>
    <t>Tangga</t>
  </si>
  <si>
    <t>(bh)</t>
  </si>
  <si>
    <t>Rinso</t>
  </si>
  <si>
    <t>(sachet)</t>
  </si>
  <si>
    <t>Sabut</t>
  </si>
  <si>
    <t>cuci</t>
  </si>
  <si>
    <t>Kertas Amplas no.400</t>
  </si>
  <si>
    <t>Tukang (1 orang)</t>
  </si>
  <si>
    <t>Pekerja (1 orang)</t>
  </si>
  <si>
    <t>scht</t>
  </si>
  <si>
    <t>Rinso sachet isi 46 gram</t>
  </si>
  <si>
    <t xml:space="preserve">Skrap / Kape </t>
  </si>
  <si>
    <t>Skrap</t>
  </si>
  <si>
    <t>lbr</t>
  </si>
  <si>
    <t>PENGECATAN TANGKI UTAMA SOLAR</t>
  </si>
  <si>
    <t>Cat anti karat AQUA PRIMTOP APT-90 waterbased 
- Brand Propan (1kg = 8m²)
- Pengecatan 3 lapisan</t>
  </si>
  <si>
    <t>Plh. Kadiv. Trans. Distribusi</t>
  </si>
  <si>
    <t>Medan,     September 2018</t>
  </si>
  <si>
    <t>Tangga lipat Kayu - 2,5 meter</t>
  </si>
  <si>
    <t>Empat juta sembilan ratus tiga puluh enam ribu Rupiah</t>
  </si>
  <si>
    <t>Medan,      September 2018</t>
  </si>
  <si>
    <t xml:space="preserve">Cat kilat Bee Brand 1000
</t>
  </si>
  <si>
    <t>Thinner Cobra</t>
  </si>
  <si>
    <t xml:space="preserve">PENGECATAN PIPA OUTLET DIA. 450mm </t>
  </si>
  <si>
    <t>PEMASANGAN PERANGKAT KONEKSI INTERNET</t>
  </si>
  <si>
    <t>LOKASI: BOOSTER MENARA</t>
  </si>
  <si>
    <t>Ubiquity Bullet M2HP 2.4 GHz 600mW</t>
  </si>
  <si>
    <t>Jasa instalasi wireless akses point</t>
  </si>
  <si>
    <t>TP-Link CPE220</t>
  </si>
  <si>
    <t>Asesoris pemasangan (fisher, kabel ties, RJ45, paku klem kabel)</t>
  </si>
  <si>
    <t>TP Link Antenna 2415 D</t>
  </si>
  <si>
    <t>Mini Pole, tapak antenna</t>
  </si>
  <si>
    <t>Kabel STP Cat-5e</t>
  </si>
  <si>
    <t>Power Supply 24V 2A POE</t>
  </si>
  <si>
    <t xml:space="preserve">TP-LINK 300Mbps Wireless N Router TL-WR841ND </t>
  </si>
  <si>
    <t>Lima juta tiga ratuslima puluh lima ribu Rupiah</t>
  </si>
  <si>
    <t>Thiner</t>
  </si>
  <si>
    <t xml:space="preserve">Elbow Spoel Piece Ø 160 mm Steel (tempah)
</t>
  </si>
  <si>
    <t>Pekerjaan Perbaikan Bocor Pipa Outlet</t>
  </si>
  <si>
    <t>Tukang (MH)</t>
  </si>
  <si>
    <t>OH</t>
  </si>
  <si>
    <t>Pekerja (MH)</t>
  </si>
  <si>
    <t xml:space="preserve"> Bend Steel Ø 160 mm 
</t>
  </si>
  <si>
    <t>Medan,     Oktober 2018</t>
  </si>
  <si>
    <t>Empat juta lima ratus tujuh puluh tiga ribu Rupiah</t>
  </si>
  <si>
    <t>amplas</t>
  </si>
  <si>
    <t>Satu juta delapan ratus tiga puluh enam ribu Rupiah</t>
  </si>
  <si>
    <t>Bodelac</t>
  </si>
  <si>
    <t>3,5 kg</t>
  </si>
  <si>
    <t>1 Kg</t>
  </si>
  <si>
    <t>Sikat</t>
  </si>
  <si>
    <t>Besi</t>
  </si>
  <si>
    <t>ember</t>
  </si>
  <si>
    <t>Tanda</t>
  </si>
  <si>
    <t>Terima</t>
  </si>
  <si>
    <t xml:space="preserve"> Plh. Kadiv. Transmisi Distribusi</t>
  </si>
  <si>
    <t>:  BOOSTER PUMP GARU I</t>
  </si>
  <si>
    <t xml:space="preserve"> Pipa Steel Ø 250 mm, t=5:2
</t>
  </si>
  <si>
    <t>:  PERBAIKAN KEBOCORAN PIPA OUTLET Ø 200 mm POMPA No.4</t>
  </si>
  <si>
    <t xml:space="preserve">Blind Flange Steel Ø 250 mm
 Flange Steel Ø 250 mm </t>
  </si>
  <si>
    <t>Pekerja (2 orang)</t>
  </si>
  <si>
    <t>Empat  juta sratus delapan puluh satu ribu rupiah</t>
  </si>
  <si>
    <t>Jasa / sewa</t>
  </si>
  <si>
    <t>:  PERBAIKAN FOOT VALVE POMPA No.4</t>
  </si>
  <si>
    <t>:  BOOSTER PUMP SEI AGUL</t>
  </si>
  <si>
    <t xml:space="preserve">Foot Valve MIZU,  Size 8 Inch 10K Standard JIS Model Flange </t>
  </si>
  <si>
    <t>Medan,     Februari 2019</t>
  </si>
  <si>
    <t>Delapan juta tujuh ratus sembilan puluh tujuh ribu rupiah</t>
  </si>
  <si>
    <t xml:space="preserve">PENGECATAN PIPA OUTLET DIA. 600mm </t>
  </si>
  <si>
    <t>LOKASI: BOOSTER PUMP LAU BENG KLEWANG</t>
  </si>
  <si>
    <t>Medan,      April 2019</t>
  </si>
  <si>
    <t>Satu juta tujuh ratus empat puluh tujuh ribu Rupiah</t>
  </si>
  <si>
    <t>Medan,     April 2019</t>
  </si>
  <si>
    <t>M Denai</t>
  </si>
  <si>
    <t>Cemara Lama</t>
  </si>
  <si>
    <t>Cemara Baru</t>
  </si>
  <si>
    <t>Ali Ismail Siregar</t>
  </si>
  <si>
    <t xml:space="preserve"> Kadiv. Transmisi Distribusi</t>
  </si>
  <si>
    <t>Nurleli</t>
  </si>
  <si>
    <t>LOKASI : 8 BOOSTER PUMP</t>
  </si>
  <si>
    <t>Rupiah</t>
  </si>
  <si>
    <t>Medan,         Mei  2023</t>
  </si>
  <si>
    <t>CAT</t>
  </si>
  <si>
    <t>Thinner</t>
  </si>
</sst>
</file>

<file path=xl/styles.xml><?xml version="1.0" encoding="utf-8"?>
<styleSheet xmlns="http://schemas.openxmlformats.org/spreadsheetml/2006/main">
  <numFmts count="33">
    <numFmt numFmtId="43" formatCode="_-* #,##0.00_-;\-* #,##0.00_-;_-* &quot;-&quot;??_-;_-@_-"/>
    <numFmt numFmtId="164" formatCode="_(&quot;Rp&quot;* #,##0_);_(&quot;Rp&quot;* \(#,##0\);_(&quot;Rp&quot;* &quot;-&quot;_);_(@_)"/>
    <numFmt numFmtId="165" formatCode="_(* #,##0_);_(* \(#,##0\);_(* &quot;-&quot;_);_(@_)"/>
    <numFmt numFmtId="166" formatCode="_(&quot;Rp&quot;* #,##0.00_);_(&quot;Rp&quot;* \(#,##0.00\);_(&quot;Rp&quot;* &quot;-&quot;??_);_(@_)"/>
    <numFmt numFmtId="167" formatCode="_(* #,##0.00_);_(* \(#,##0.00\);_(* &quot;-&quot;??_);_(@_)"/>
    <numFmt numFmtId="168" formatCode="_(* #,##0_);_(* \(#,##0\);_(* &quot;-&quot;??_);_(@_)"/>
    <numFmt numFmtId="169" formatCode="0_);[Red]\(0\)"/>
    <numFmt numFmtId="170" formatCode="0.0_);[Red]\(0.0\)"/>
    <numFmt numFmtId="171" formatCode="0;[Red]0"/>
    <numFmt numFmtId="172" formatCode="0.000;[Red]0.000"/>
    <numFmt numFmtId="173" formatCode="0.00_);[Red]\(0.00\)"/>
    <numFmt numFmtId="174" formatCode="0.00;[Red]0.00"/>
    <numFmt numFmtId="175" formatCode="0.000_);[Red]\(0.000\)"/>
    <numFmt numFmtId="176" formatCode="0.0000"/>
    <numFmt numFmtId="177" formatCode="0.0"/>
    <numFmt numFmtId="178" formatCode="0.000"/>
    <numFmt numFmtId="179" formatCode="_(* #,##0.0000_);_(* \(#,##0.0000\);_(* &quot;-&quot;????_);_(@_)"/>
    <numFmt numFmtId="180" formatCode="_(* #,##0.0000_);_(* \(#,##0.0000\);_(* &quot;-&quot;??_);_(@_)"/>
    <numFmt numFmtId="181" formatCode="_(* #,##0.000_);_(* \(#,##0.000\);_(* &quot;-&quot;??_);_(@_)"/>
    <numFmt numFmtId="182" formatCode="_-* #,##0.000_-;\-* #,##0.000_-;_-* &quot;-&quot;??_-;_-@_-"/>
    <numFmt numFmtId="183" formatCode="[$Rp-421]#,##0.00_);[Red]\([$Rp-421]#,##0.00\)"/>
    <numFmt numFmtId="184" formatCode="[$Rp-421]#,##0.00"/>
    <numFmt numFmtId="185" formatCode="#,##0.000"/>
    <numFmt numFmtId="186" formatCode="#,##0_ "/>
    <numFmt numFmtId="187" formatCode="[$Rp-421]#,##0;[Red][$Rp-421]#,##0"/>
    <numFmt numFmtId="188" formatCode="[$Rp-421]#,##0.000_);[Red]\([$Rp-421]#,##0.000\)"/>
    <numFmt numFmtId="189" formatCode="[$Rp-421]#,##0_);[Red]\([$Rp-421]#,##0\)"/>
    <numFmt numFmtId="190" formatCode="_(* #.##0.00_);_(* \(#.##0.00\);_(* &quot;-&quot;??_);_(@_)"/>
    <numFmt numFmtId="191" formatCode="_(* #.##._);_(* \(#.##.\);_(* &quot;-&quot;??_);_(@_ⴆ"/>
    <numFmt numFmtId="192" formatCode="_(* #,##0.0_);_(* \(#,##0.0\);_(* &quot;-&quot;_);_(@_)"/>
    <numFmt numFmtId="193" formatCode="0\ &quot;lapis&quot;"/>
    <numFmt numFmtId="194" formatCode="0.0\ &quot;lbr/m2&quot;"/>
    <numFmt numFmtId="195" formatCode="0\ &quot;m2/scht&quot;"/>
  </numFmts>
  <fonts count="127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sz val="11"/>
      <name val="Arial"/>
      <family val="2"/>
    </font>
    <font>
      <sz val="9"/>
      <name val="Arial"/>
      <family val="2"/>
    </font>
    <font>
      <u/>
      <sz val="9"/>
      <name val="Calibri"/>
      <family val="2"/>
    </font>
    <font>
      <sz val="9"/>
      <name val="Calibri"/>
      <family val="2"/>
    </font>
    <font>
      <sz val="11"/>
      <color indexed="8"/>
      <name val="Arial"/>
      <family val="2"/>
    </font>
    <font>
      <u/>
      <sz val="11"/>
      <color indexed="8"/>
      <name val="Calibri"/>
      <family val="2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4"/>
      <name val="Calibri"/>
      <family val="2"/>
    </font>
    <font>
      <b/>
      <sz val="12"/>
      <name val="Calibri"/>
      <family val="2"/>
    </font>
    <font>
      <b/>
      <sz val="9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b/>
      <u/>
      <sz val="9"/>
      <name val="Calibri"/>
      <family val="2"/>
    </font>
    <font>
      <sz val="10"/>
      <name val="Calibri"/>
      <family val="2"/>
    </font>
    <font>
      <i/>
      <sz val="9"/>
      <name val="Calibri"/>
      <family val="2"/>
    </font>
    <font>
      <b/>
      <i/>
      <sz val="10.5"/>
      <name val="Calibri"/>
      <family val="2"/>
    </font>
    <font>
      <b/>
      <i/>
      <sz val="9"/>
      <name val="Calibri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i/>
      <sz val="11"/>
      <name val="Calibri"/>
      <family val="2"/>
    </font>
    <font>
      <b/>
      <sz val="10"/>
      <name val="Calibri"/>
      <family val="2"/>
    </font>
    <font>
      <u/>
      <sz val="10"/>
      <name val="Calibri"/>
      <family val="2"/>
    </font>
    <font>
      <b/>
      <u/>
      <sz val="10"/>
      <name val="Calibri"/>
      <family val="2"/>
    </font>
    <font>
      <sz val="10"/>
      <color indexed="8"/>
      <name val="Calibri"/>
      <family val="2"/>
    </font>
    <font>
      <i/>
      <sz val="10"/>
      <name val="Calibri"/>
      <family val="2"/>
    </font>
    <font>
      <b/>
      <sz val="9"/>
      <name val="Arial"/>
      <family val="2"/>
    </font>
    <font>
      <u/>
      <sz val="9"/>
      <name val="Arial"/>
      <family val="2"/>
    </font>
    <font>
      <b/>
      <u/>
      <sz val="9"/>
      <name val="Arial"/>
      <family val="2"/>
    </font>
    <font>
      <i/>
      <sz val="9"/>
      <name val="Arial"/>
      <family val="2"/>
    </font>
    <font>
      <b/>
      <sz val="11"/>
      <name val="Arial"/>
      <family val="2"/>
    </font>
    <font>
      <b/>
      <sz val="10"/>
      <color indexed="8"/>
      <name val="Calibri"/>
      <family val="2"/>
    </font>
    <font>
      <b/>
      <sz val="9"/>
      <color indexed="8"/>
      <name val="Calibri"/>
      <family val="2"/>
    </font>
    <font>
      <b/>
      <u/>
      <sz val="9"/>
      <color indexed="8"/>
      <name val="Calibri"/>
      <family val="2"/>
    </font>
    <font>
      <i/>
      <sz val="9"/>
      <color indexed="8"/>
      <name val="Calibri"/>
      <family val="2"/>
    </font>
    <font>
      <b/>
      <u/>
      <sz val="11"/>
      <color indexed="8"/>
      <name val="Calibri"/>
      <family val="2"/>
    </font>
    <font>
      <b/>
      <sz val="14"/>
      <color indexed="8"/>
      <name val="Calibri"/>
      <family val="2"/>
    </font>
    <font>
      <b/>
      <sz val="12"/>
      <color indexed="8"/>
      <name val="Calibri"/>
      <family val="2"/>
    </font>
    <font>
      <sz val="11"/>
      <color indexed="57"/>
      <name val="Calibri"/>
      <family val="2"/>
    </font>
    <font>
      <sz val="11"/>
      <color indexed="21"/>
      <name val="Calibri"/>
      <family val="2"/>
    </font>
    <font>
      <sz val="11"/>
      <color indexed="8"/>
      <name val="Calibri"/>
      <family val="2"/>
    </font>
    <font>
      <sz val="12"/>
      <name val="Calibri"/>
      <family val="2"/>
    </font>
    <font>
      <b/>
      <u/>
      <sz val="12"/>
      <name val="Calibri"/>
      <family val="2"/>
    </font>
    <font>
      <b/>
      <i/>
      <sz val="12"/>
      <name val="Calibri"/>
      <family val="2"/>
    </font>
    <font>
      <b/>
      <sz val="20"/>
      <name val="Calibri"/>
      <family val="2"/>
    </font>
    <font>
      <b/>
      <sz val="16"/>
      <name val="Calibri"/>
      <family val="2"/>
    </font>
    <font>
      <b/>
      <sz val="22"/>
      <name val="Calibri"/>
      <family val="2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2"/>
      <name val="Calibri"/>
      <family val="2"/>
    </font>
    <font>
      <b/>
      <sz val="14"/>
      <name val="Calibri"/>
      <family val="2"/>
    </font>
    <font>
      <b/>
      <sz val="18"/>
      <name val="Calibri"/>
      <family val="2"/>
    </font>
    <font>
      <b/>
      <sz val="14"/>
      <color indexed="8"/>
      <name val="Calibri"/>
      <family val="2"/>
    </font>
    <font>
      <sz val="12"/>
      <color indexed="8"/>
      <name val="Calibri"/>
      <family val="2"/>
    </font>
    <font>
      <b/>
      <u/>
      <sz val="11"/>
      <color indexed="8"/>
      <name val="Calibri"/>
      <family val="2"/>
    </font>
    <font>
      <sz val="10"/>
      <name val="Calibri"/>
      <family val="2"/>
    </font>
    <font>
      <i/>
      <sz val="10"/>
      <name val="Calibri"/>
      <family val="2"/>
    </font>
    <font>
      <u/>
      <sz val="11"/>
      <color indexed="8"/>
      <name val="Calibri"/>
      <family val="2"/>
    </font>
    <font>
      <sz val="14"/>
      <name val="Calibri"/>
      <family val="2"/>
    </font>
    <font>
      <b/>
      <sz val="13"/>
      <name val="Calibri"/>
      <family val="2"/>
    </font>
    <font>
      <b/>
      <u/>
      <sz val="13"/>
      <name val="Calibri"/>
      <family val="2"/>
    </font>
    <font>
      <sz val="13"/>
      <name val="Calibri"/>
      <family val="2"/>
    </font>
    <font>
      <b/>
      <u/>
      <sz val="14"/>
      <name val="Calibri"/>
      <family val="2"/>
    </font>
    <font>
      <sz val="12"/>
      <color indexed="8"/>
      <name val="Times New Roman"/>
      <family val="1"/>
    </font>
    <font>
      <b/>
      <sz val="14"/>
      <name val="Arial"/>
      <family val="2"/>
    </font>
    <font>
      <u/>
      <sz val="12"/>
      <name val="Calibri"/>
      <family val="2"/>
    </font>
    <font>
      <sz val="14"/>
      <color indexed="8"/>
      <name val="Calibri"/>
      <family val="2"/>
    </font>
    <font>
      <i/>
      <sz val="14"/>
      <name val="Calibri"/>
      <family val="2"/>
    </font>
    <font>
      <b/>
      <i/>
      <sz val="14"/>
      <name val="Calibri"/>
      <family val="2"/>
    </font>
    <font>
      <b/>
      <sz val="24"/>
      <name val="Calibri"/>
      <family val="2"/>
    </font>
    <font>
      <b/>
      <u/>
      <sz val="14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i/>
      <sz val="14"/>
      <name val="Arial"/>
      <family val="2"/>
    </font>
    <font>
      <b/>
      <i/>
      <sz val="14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sz val="16"/>
      <color indexed="8"/>
      <name val="Calibri"/>
      <family val="2"/>
    </font>
    <font>
      <sz val="18"/>
      <color indexed="8"/>
      <name val="Calibri"/>
      <family val="2"/>
    </font>
    <font>
      <sz val="16"/>
      <color indexed="8"/>
      <name val="Times New Roman"/>
      <family val="1"/>
    </font>
    <font>
      <sz val="16"/>
      <name val="Calibri"/>
      <family val="2"/>
    </font>
    <font>
      <b/>
      <sz val="26"/>
      <name val="Calibri"/>
      <family val="2"/>
    </font>
    <font>
      <u/>
      <sz val="14"/>
      <name val="Calibri"/>
      <family val="2"/>
    </font>
    <font>
      <sz val="20"/>
      <color indexed="8"/>
      <name val="Calibri"/>
      <family val="2"/>
    </font>
    <font>
      <b/>
      <u/>
      <sz val="16"/>
      <name val="Calibri"/>
      <family val="2"/>
    </font>
    <font>
      <b/>
      <sz val="16"/>
      <color indexed="8"/>
      <name val="Calibri"/>
      <family val="2"/>
    </font>
    <font>
      <i/>
      <sz val="16"/>
      <name val="Calibri"/>
      <family val="2"/>
    </font>
    <font>
      <b/>
      <i/>
      <sz val="16"/>
      <name val="Calibri"/>
      <family val="2"/>
    </font>
    <font>
      <b/>
      <sz val="16"/>
      <name val="Arial"/>
      <family val="2"/>
    </font>
    <font>
      <sz val="11"/>
      <color rgb="FF00B050"/>
      <name val="Calibri"/>
      <family val="2"/>
    </font>
    <font>
      <b/>
      <sz val="16"/>
      <color rgb="FF000000"/>
      <name val="Times New Roman"/>
      <family val="1"/>
    </font>
    <font>
      <sz val="11"/>
      <color rgb="FFFF0000"/>
      <name val="Calibri"/>
      <family val="2"/>
    </font>
    <font>
      <sz val="12"/>
      <color theme="0"/>
      <name val="Calibri"/>
      <family val="2"/>
    </font>
    <font>
      <b/>
      <i/>
      <u/>
      <sz val="12"/>
      <name val="Calibri"/>
      <family val="2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name val="Calibri"/>
      <family val="2"/>
      <scheme val="minor"/>
    </font>
    <font>
      <i/>
      <sz val="11"/>
      <color indexed="8"/>
      <name val="Calibri"/>
      <family val="2"/>
    </font>
    <font>
      <b/>
      <i/>
      <sz val="11"/>
      <color indexed="8"/>
      <name val="Calibri"/>
      <family val="2"/>
    </font>
    <font>
      <sz val="10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47">
    <xf numFmtId="0" fontId="0" fillId="0" borderId="0"/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9" borderId="0" applyNumberFormat="0" applyBorder="0" applyAlignment="0" applyProtection="0"/>
    <xf numFmtId="0" fontId="21" fillId="3" borderId="0" applyNumberFormat="0" applyBorder="0" applyAlignment="0" applyProtection="0"/>
    <xf numFmtId="0" fontId="14" fillId="20" borderId="1" applyNumberFormat="0" applyAlignment="0" applyProtection="0"/>
    <xf numFmtId="0" fontId="23" fillId="21" borderId="2" applyNumberFormat="0" applyAlignment="0" applyProtection="0"/>
    <xf numFmtId="167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5" fillId="7" borderId="1" applyNumberFormat="0" applyAlignment="0" applyProtection="0"/>
    <xf numFmtId="0" fontId="9" fillId="0" borderId="6" applyNumberFormat="0" applyFill="0" applyAlignment="0" applyProtection="0"/>
    <xf numFmtId="0" fontId="20" fillId="22" borderId="0" applyNumberFormat="0" applyBorder="0" applyAlignment="0" applyProtection="0"/>
    <xf numFmtId="0" fontId="63" fillId="23" borderId="7" applyNumberFormat="0" applyFont="0" applyAlignment="0" applyProtection="0"/>
    <xf numFmtId="0" fontId="16" fillId="20" borderId="8" applyNumberFormat="0" applyAlignment="0" applyProtection="0"/>
    <xf numFmtId="0" fontId="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3" fillId="0" borderId="0" applyNumberFormat="0" applyFill="0" applyBorder="0" applyAlignment="0" applyProtection="0"/>
    <xf numFmtId="0" fontId="124" fillId="0" borderId="0"/>
    <xf numFmtId="165" fontId="1" fillId="0" borderId="0" applyFont="0" applyFill="0" applyBorder="0" applyAlignment="0" applyProtection="0"/>
    <xf numFmtId="0" fontId="63" fillId="0" borderId="0"/>
  </cellStyleXfs>
  <cellXfs count="1813">
    <xf numFmtId="0" fontId="0" fillId="0" borderId="0" xfId="0"/>
    <xf numFmtId="167" fontId="24" fillId="0" borderId="0" xfId="28" applyFont="1"/>
    <xf numFmtId="167" fontId="24" fillId="0" borderId="0" xfId="28" applyFont="1" applyAlignment="1">
      <alignment vertical="center"/>
    </xf>
    <xf numFmtId="0" fontId="24" fillId="0" borderId="0" xfId="0" applyFont="1"/>
    <xf numFmtId="168" fontId="24" fillId="0" borderId="0" xfId="28" applyNumberFormat="1" applyFont="1"/>
    <xf numFmtId="0" fontId="5" fillId="0" borderId="0" xfId="0" applyFont="1" applyAlignment="1">
      <alignment horizontal="center"/>
    </xf>
    <xf numFmtId="0" fontId="5" fillId="0" borderId="0" xfId="0" applyFont="1"/>
    <xf numFmtId="0" fontId="27" fillId="0" borderId="0" xfId="0" applyFont="1" applyAlignment="1">
      <alignment horizontal="center"/>
    </xf>
    <xf numFmtId="0" fontId="26" fillId="0" borderId="10" xfId="0" applyFont="1" applyBorder="1" applyAlignment="1">
      <alignment horizontal="center"/>
    </xf>
    <xf numFmtId="0" fontId="26" fillId="0" borderId="11" xfId="0" applyFont="1" applyBorder="1" applyAlignment="1">
      <alignment horizontal="center"/>
    </xf>
    <xf numFmtId="0" fontId="26" fillId="0" borderId="12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28" fillId="0" borderId="15" xfId="0" applyFont="1" applyBorder="1" applyAlignment="1">
      <alignment vertical="center"/>
    </xf>
    <xf numFmtId="167" fontId="29" fillId="0" borderId="15" xfId="28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5" xfId="0" applyFont="1" applyBorder="1" applyAlignment="1">
      <alignment vertical="center"/>
    </xf>
    <xf numFmtId="43" fontId="29" fillId="0" borderId="15" xfId="28" applyNumberFormat="1" applyFont="1" applyBorder="1" applyAlignment="1">
      <alignment horizontal="right" vertical="center"/>
    </xf>
    <xf numFmtId="167" fontId="29" fillId="0" borderId="16" xfId="0" applyNumberFormat="1" applyFont="1" applyBorder="1" applyAlignment="1">
      <alignment vertical="center"/>
    </xf>
    <xf numFmtId="4" fontId="29" fillId="0" borderId="15" xfId="0" applyNumberFormat="1" applyFont="1" applyBorder="1" applyAlignment="1">
      <alignment vertical="center"/>
    </xf>
    <xf numFmtId="4" fontId="29" fillId="0" borderId="15" xfId="28" applyNumberFormat="1" applyFont="1" applyBorder="1" applyAlignment="1">
      <alignment horizontal="right" vertical="center"/>
    </xf>
    <xf numFmtId="4" fontId="29" fillId="0" borderId="16" xfId="0" applyNumberFormat="1" applyFont="1" applyBorder="1" applyAlignment="1">
      <alignment vertical="center"/>
    </xf>
    <xf numFmtId="0" fontId="29" fillId="0" borderId="14" xfId="0" applyFont="1" applyBorder="1" applyAlignment="1">
      <alignment horizontal="right" vertical="center"/>
    </xf>
    <xf numFmtId="2" fontId="29" fillId="0" borderId="15" xfId="28" applyNumberFormat="1" applyFont="1" applyBorder="1" applyAlignment="1">
      <alignment horizontal="center" vertical="center"/>
    </xf>
    <xf numFmtId="43" fontId="29" fillId="0" borderId="15" xfId="28" applyNumberFormat="1" applyFont="1" applyBorder="1" applyAlignment="1">
      <alignment horizontal="center" vertical="center"/>
    </xf>
    <xf numFmtId="167" fontId="29" fillId="0" borderId="15" xfId="0" applyNumberFormat="1" applyFont="1" applyBorder="1" applyAlignment="1">
      <alignment vertical="center"/>
    </xf>
    <xf numFmtId="167" fontId="26" fillId="0" borderId="16" xfId="0" applyNumberFormat="1" applyFont="1" applyBorder="1" applyAlignment="1">
      <alignment vertical="center"/>
    </xf>
    <xf numFmtId="0" fontId="29" fillId="0" borderId="17" xfId="0" applyFont="1" applyBorder="1" applyAlignment="1">
      <alignment horizontal="right" vertical="center"/>
    </xf>
    <xf numFmtId="0" fontId="29" fillId="0" borderId="18" xfId="0" applyFont="1" applyBorder="1" applyAlignment="1">
      <alignment vertical="center"/>
    </xf>
    <xf numFmtId="43" fontId="29" fillId="0" borderId="18" xfId="28" applyNumberFormat="1" applyFont="1" applyBorder="1" applyAlignment="1">
      <alignment horizontal="right" vertical="center"/>
    </xf>
    <xf numFmtId="167" fontId="29" fillId="0" borderId="18" xfId="28" applyFont="1" applyBorder="1" applyAlignment="1">
      <alignment horizontal="right" vertical="center"/>
    </xf>
    <xf numFmtId="43" fontId="29" fillId="0" borderId="10" xfId="28" applyNumberFormat="1" applyFont="1" applyBorder="1" applyAlignment="1">
      <alignment horizontal="right" vertical="center"/>
    </xf>
    <xf numFmtId="167" fontId="26" fillId="0" borderId="11" xfId="0" applyNumberFormat="1" applyFont="1" applyBorder="1" applyAlignment="1">
      <alignment vertical="center"/>
    </xf>
    <xf numFmtId="0" fontId="29" fillId="0" borderId="19" xfId="0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167" fontId="29" fillId="0" borderId="0" xfId="28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167" fontId="29" fillId="0" borderId="0" xfId="28" applyFont="1" applyBorder="1" applyAlignment="1">
      <alignment horizontal="right" vertical="center"/>
    </xf>
    <xf numFmtId="167" fontId="30" fillId="0" borderId="15" xfId="0" applyNumberFormat="1" applyFont="1" applyBorder="1" applyAlignment="1">
      <alignment vertical="center"/>
    </xf>
    <xf numFmtId="167" fontId="29" fillId="0" borderId="16" xfId="28" applyFont="1" applyBorder="1" applyAlignment="1">
      <alignment vertical="center"/>
    </xf>
    <xf numFmtId="167" fontId="31" fillId="0" borderId="17" xfId="28" applyFont="1" applyBorder="1" applyAlignment="1">
      <alignment vertical="center"/>
    </xf>
    <xf numFmtId="167" fontId="31" fillId="0" borderId="18" xfId="28" applyFont="1" applyBorder="1" applyAlignment="1">
      <alignment vertical="center"/>
    </xf>
    <xf numFmtId="167" fontId="31" fillId="0" borderId="20" xfId="28" applyFont="1" applyBorder="1" applyAlignment="1">
      <alignment vertical="center"/>
    </xf>
    <xf numFmtId="0" fontId="29" fillId="0" borderId="10" xfId="0" applyFont="1" applyBorder="1" applyAlignment="1">
      <alignment vertical="center"/>
    </xf>
    <xf numFmtId="167" fontId="31" fillId="0" borderId="21" xfId="28" applyFont="1" applyBorder="1" applyAlignment="1">
      <alignment vertical="center"/>
    </xf>
    <xf numFmtId="167" fontId="32" fillId="0" borderId="22" xfId="28" applyFont="1" applyBorder="1" applyAlignment="1">
      <alignment horizontal="left" vertical="center"/>
    </xf>
    <xf numFmtId="167" fontId="31" fillId="0" borderId="23" xfId="28" applyFont="1" applyBorder="1" applyAlignment="1">
      <alignment vertical="center"/>
    </xf>
    <xf numFmtId="0" fontId="29" fillId="0" borderId="24" xfId="0" applyFont="1" applyBorder="1" applyAlignment="1">
      <alignment vertical="center"/>
    </xf>
    <xf numFmtId="167" fontId="26" fillId="0" borderId="25" xfId="0" applyNumberFormat="1" applyFont="1" applyBorder="1" applyAlignment="1">
      <alignment vertical="center"/>
    </xf>
    <xf numFmtId="0" fontId="29" fillId="0" borderId="0" xfId="0" applyFont="1" applyBorder="1"/>
    <xf numFmtId="167" fontId="26" fillId="0" borderId="0" xfId="0" applyNumberFormat="1" applyFont="1" applyBorder="1"/>
    <xf numFmtId="0" fontId="29" fillId="0" borderId="0" xfId="0" applyFont="1"/>
    <xf numFmtId="0" fontId="26" fillId="0" borderId="14" xfId="0" applyFont="1" applyFill="1" applyBorder="1" applyAlignment="1">
      <alignment horizontal="center" vertical="center"/>
    </xf>
    <xf numFmtId="0" fontId="28" fillId="0" borderId="15" xfId="0" applyFont="1" applyFill="1" applyBorder="1" applyAlignment="1">
      <alignment horizontal="left" vertical="center"/>
    </xf>
    <xf numFmtId="0" fontId="26" fillId="0" borderId="15" xfId="0" applyFont="1" applyFill="1" applyBorder="1" applyAlignment="1">
      <alignment horizontal="center" vertical="center"/>
    </xf>
    <xf numFmtId="0" fontId="26" fillId="0" borderId="16" xfId="0" applyFont="1" applyFill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/>
    </xf>
    <xf numFmtId="0" fontId="29" fillId="0" borderId="16" xfId="0" applyFont="1" applyFill="1" applyBorder="1" applyAlignment="1">
      <alignment horizontal="center" vertical="center"/>
    </xf>
    <xf numFmtId="0" fontId="29" fillId="0" borderId="15" xfId="0" applyFont="1" applyFill="1" applyBorder="1" applyAlignment="1">
      <alignment horizontal="left" vertical="center"/>
    </xf>
    <xf numFmtId="169" fontId="29" fillId="0" borderId="15" xfId="0" applyNumberFormat="1" applyFont="1" applyFill="1" applyBorder="1" applyAlignment="1">
      <alignment horizontal="center" vertical="center"/>
    </xf>
    <xf numFmtId="40" fontId="29" fillId="0" borderId="15" xfId="0" applyNumberFormat="1" applyFont="1" applyFill="1" applyBorder="1" applyAlignment="1">
      <alignment horizontal="right" vertical="center"/>
    </xf>
    <xf numFmtId="40" fontId="26" fillId="0" borderId="16" xfId="0" applyNumberFormat="1" applyFont="1" applyFill="1" applyBorder="1" applyAlignment="1">
      <alignment horizontal="right" vertical="center"/>
    </xf>
    <xf numFmtId="40" fontId="29" fillId="0" borderId="16" xfId="0" applyNumberFormat="1" applyFont="1" applyFill="1" applyBorder="1" applyAlignment="1">
      <alignment horizontal="right" vertical="center"/>
    </xf>
    <xf numFmtId="0" fontId="29" fillId="0" borderId="14" xfId="0" applyFont="1" applyFill="1" applyBorder="1" applyAlignment="1">
      <alignment horizontal="right" vertical="center"/>
    </xf>
    <xf numFmtId="0" fontId="29" fillId="0" borderId="15" xfId="0" applyFont="1" applyFill="1" applyBorder="1" applyAlignment="1">
      <alignment vertical="center"/>
    </xf>
    <xf numFmtId="2" fontId="29" fillId="0" borderId="15" xfId="28" applyNumberFormat="1" applyFont="1" applyFill="1" applyBorder="1" applyAlignment="1">
      <alignment horizontal="center" vertical="center"/>
    </xf>
    <xf numFmtId="167" fontId="29" fillId="0" borderId="15" xfId="0" applyNumberFormat="1" applyFont="1" applyFill="1" applyBorder="1" applyAlignment="1">
      <alignment vertical="center"/>
    </xf>
    <xf numFmtId="43" fontId="29" fillId="0" borderId="15" xfId="28" applyNumberFormat="1" applyFont="1" applyFill="1" applyBorder="1" applyAlignment="1">
      <alignment horizontal="right" vertical="center"/>
    </xf>
    <xf numFmtId="167" fontId="29" fillId="0" borderId="16" xfId="0" applyNumberFormat="1" applyFont="1" applyFill="1" applyBorder="1" applyAlignment="1">
      <alignment vertical="center"/>
    </xf>
    <xf numFmtId="167" fontId="26" fillId="0" borderId="16" xfId="28" applyFont="1" applyBorder="1" applyAlignment="1">
      <alignment vertical="center"/>
    </xf>
    <xf numFmtId="0" fontId="29" fillId="0" borderId="10" xfId="0" applyFont="1" applyBorder="1" applyAlignment="1">
      <alignment horizontal="right" vertical="center"/>
    </xf>
    <xf numFmtId="167" fontId="32" fillId="0" borderId="22" xfId="28" applyFont="1" applyFill="1" applyBorder="1" applyAlignment="1">
      <alignment horizontal="left" vertical="center"/>
    </xf>
    <xf numFmtId="0" fontId="29" fillId="0" borderId="24" xfId="0" applyFont="1" applyBorder="1" applyAlignment="1">
      <alignment horizontal="right" vertical="center"/>
    </xf>
    <xf numFmtId="40" fontId="29" fillId="0" borderId="16" xfId="0" applyNumberFormat="1" applyFont="1" applyFill="1" applyBorder="1" applyAlignment="1">
      <alignment horizontal="center" vertical="center"/>
    </xf>
    <xf numFmtId="0" fontId="26" fillId="0" borderId="15" xfId="0" applyFont="1" applyFill="1" applyBorder="1" applyAlignment="1">
      <alignment horizontal="left" vertical="center"/>
    </xf>
    <xf numFmtId="170" fontId="29" fillId="0" borderId="15" xfId="0" applyNumberFormat="1" applyFont="1" applyFill="1" applyBorder="1" applyAlignment="1">
      <alignment horizontal="center" vertical="center"/>
    </xf>
    <xf numFmtId="0" fontId="27" fillId="0" borderId="10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14" xfId="0" applyFont="1" applyFill="1" applyBorder="1" applyAlignment="1">
      <alignment horizontal="center" vertical="center"/>
    </xf>
    <xf numFmtId="0" fontId="34" fillId="0" borderId="15" xfId="0" applyFont="1" applyFill="1" applyBorder="1" applyAlignment="1">
      <alignment horizontal="left" vertical="center"/>
    </xf>
    <xf numFmtId="0" fontId="27" fillId="0" borderId="15" xfId="0" applyFont="1" applyFill="1" applyBorder="1" applyAlignment="1">
      <alignment horizontal="center" vertical="center"/>
    </xf>
    <xf numFmtId="0" fontId="27" fillId="0" borderId="16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left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169" fontId="5" fillId="0" borderId="15" xfId="0" applyNumberFormat="1" applyFont="1" applyFill="1" applyBorder="1" applyAlignment="1">
      <alignment horizontal="center" vertical="center"/>
    </xf>
    <xf numFmtId="40" fontId="5" fillId="0" borderId="15" xfId="0" applyNumberFormat="1" applyFont="1" applyFill="1" applyBorder="1" applyAlignment="1">
      <alignment horizontal="right" vertical="center"/>
    </xf>
    <xf numFmtId="40" fontId="27" fillId="0" borderId="16" xfId="0" applyNumberFormat="1" applyFont="1" applyFill="1" applyBorder="1" applyAlignment="1">
      <alignment horizontal="right" vertical="center"/>
    </xf>
    <xf numFmtId="40" fontId="5" fillId="0" borderId="16" xfId="0" applyNumberFormat="1" applyFont="1" applyFill="1" applyBorder="1" applyAlignment="1">
      <alignment horizontal="right" vertical="center"/>
    </xf>
    <xf numFmtId="40" fontId="5" fillId="0" borderId="16" xfId="0" applyNumberFormat="1" applyFont="1" applyFill="1" applyBorder="1" applyAlignment="1">
      <alignment horizontal="center" vertical="center"/>
    </xf>
    <xf numFmtId="169" fontId="5" fillId="0" borderId="15" xfId="28" applyNumberFormat="1" applyFont="1" applyFill="1" applyBorder="1" applyAlignment="1">
      <alignment horizontal="center" vertical="center"/>
    </xf>
    <xf numFmtId="167" fontId="27" fillId="0" borderId="16" xfId="0" applyNumberFormat="1" applyFont="1" applyFill="1" applyBorder="1" applyAlignment="1">
      <alignment vertical="center"/>
    </xf>
    <xf numFmtId="0" fontId="5" fillId="0" borderId="15" xfId="0" applyFont="1" applyFill="1" applyBorder="1" applyAlignment="1">
      <alignment vertical="center"/>
    </xf>
    <xf numFmtId="167" fontId="5" fillId="0" borderId="15" xfId="28" applyFont="1" applyFill="1" applyBorder="1" applyAlignment="1">
      <alignment horizontal="center" vertical="center"/>
    </xf>
    <xf numFmtId="4" fontId="5" fillId="0" borderId="15" xfId="0" applyNumberFormat="1" applyFont="1" applyFill="1" applyBorder="1" applyAlignment="1">
      <alignment vertical="center"/>
    </xf>
    <xf numFmtId="4" fontId="5" fillId="0" borderId="15" xfId="28" applyNumberFormat="1" applyFont="1" applyFill="1" applyBorder="1" applyAlignment="1">
      <alignment horizontal="right" vertical="center"/>
    </xf>
    <xf numFmtId="4" fontId="5" fillId="0" borderId="16" xfId="0" applyNumberFormat="1" applyFont="1" applyFill="1" applyBorder="1" applyAlignment="1">
      <alignment vertical="center"/>
    </xf>
    <xf numFmtId="4" fontId="27" fillId="0" borderId="16" xfId="0" applyNumberFormat="1" applyFont="1" applyFill="1" applyBorder="1" applyAlignment="1">
      <alignment vertical="center"/>
    </xf>
    <xf numFmtId="0" fontId="5" fillId="0" borderId="14" xfId="0" applyFont="1" applyFill="1" applyBorder="1" applyAlignment="1">
      <alignment horizontal="right" vertical="center"/>
    </xf>
    <xf numFmtId="43" fontId="5" fillId="0" borderId="15" xfId="28" applyNumberFormat="1" applyFont="1" applyFill="1" applyBorder="1" applyAlignment="1">
      <alignment horizontal="center" vertical="center"/>
    </xf>
    <xf numFmtId="167" fontId="5" fillId="0" borderId="15" xfId="0" applyNumberFormat="1" applyFont="1" applyFill="1" applyBorder="1" applyAlignment="1">
      <alignment vertical="center"/>
    </xf>
    <xf numFmtId="171" fontId="5" fillId="0" borderId="15" xfId="28" applyNumberFormat="1" applyFont="1" applyFill="1" applyBorder="1" applyAlignment="1">
      <alignment horizontal="center" vertical="center"/>
    </xf>
    <xf numFmtId="43" fontId="5" fillId="0" borderId="15" xfId="28" applyNumberFormat="1" applyFont="1" applyFill="1" applyBorder="1" applyAlignment="1">
      <alignment horizontal="right" vertical="center"/>
    </xf>
    <xf numFmtId="167" fontId="5" fillId="0" borderId="16" xfId="0" applyNumberFormat="1" applyFont="1" applyFill="1" applyBorder="1" applyAlignment="1">
      <alignment vertical="center"/>
    </xf>
    <xf numFmtId="172" fontId="5" fillId="0" borderId="15" xfId="28" applyNumberFormat="1" applyFont="1" applyFill="1" applyBorder="1" applyAlignment="1">
      <alignment horizontal="center" vertical="center"/>
    </xf>
    <xf numFmtId="2" fontId="5" fillId="0" borderId="15" xfId="28" applyNumberFormat="1" applyFont="1" applyFill="1" applyBorder="1" applyAlignment="1">
      <alignment horizontal="center" vertical="center"/>
    </xf>
    <xf numFmtId="0" fontId="5" fillId="0" borderId="17" xfId="0" applyFont="1" applyBorder="1" applyAlignment="1">
      <alignment horizontal="right" vertical="center"/>
    </xf>
    <xf numFmtId="0" fontId="5" fillId="0" borderId="18" xfId="0" applyFont="1" applyBorder="1" applyAlignment="1">
      <alignment vertical="center"/>
    </xf>
    <xf numFmtId="43" fontId="5" fillId="0" borderId="18" xfId="28" applyNumberFormat="1" applyFont="1" applyBorder="1" applyAlignment="1">
      <alignment horizontal="right" vertical="center"/>
    </xf>
    <xf numFmtId="167" fontId="5" fillId="0" borderId="18" xfId="28" applyFont="1" applyBorder="1" applyAlignment="1">
      <alignment horizontal="right" vertical="center"/>
    </xf>
    <xf numFmtId="43" fontId="5" fillId="0" borderId="10" xfId="28" applyNumberFormat="1" applyFont="1" applyBorder="1" applyAlignment="1">
      <alignment horizontal="right" vertical="center"/>
    </xf>
    <xf numFmtId="167" fontId="27" fillId="0" borderId="11" xfId="0" applyNumberFormat="1" applyFont="1" applyBorder="1" applyAlignment="1">
      <alignment vertical="center"/>
    </xf>
    <xf numFmtId="0" fontId="5" fillId="0" borderId="19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167" fontId="5" fillId="0" borderId="0" xfId="28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67" fontId="35" fillId="0" borderId="0" xfId="28" applyFont="1" applyBorder="1" applyAlignment="1">
      <alignment horizontal="right" vertical="center"/>
    </xf>
    <xf numFmtId="167" fontId="24" fillId="0" borderId="15" xfId="0" applyNumberFormat="1" applyFont="1" applyBorder="1" applyAlignment="1">
      <alignment vertical="center"/>
    </xf>
    <xf numFmtId="167" fontId="27" fillId="0" borderId="16" xfId="28" applyFont="1" applyBorder="1" applyAlignment="1">
      <alignment vertical="center"/>
    </xf>
    <xf numFmtId="167" fontId="36" fillId="0" borderId="17" xfId="28" applyFont="1" applyBorder="1" applyAlignment="1">
      <alignment vertical="center"/>
    </xf>
    <xf numFmtId="167" fontId="36" fillId="0" borderId="18" xfId="28" applyFont="1" applyBorder="1" applyAlignment="1">
      <alignment vertical="center"/>
    </xf>
    <xf numFmtId="0" fontId="5" fillId="0" borderId="10" xfId="0" applyFont="1" applyBorder="1" applyAlignment="1">
      <alignment horizontal="right" vertical="center"/>
    </xf>
    <xf numFmtId="0" fontId="5" fillId="0" borderId="10" xfId="0" applyFont="1" applyBorder="1" applyAlignment="1">
      <alignment vertical="center"/>
    </xf>
    <xf numFmtId="167" fontId="36" fillId="0" borderId="21" xfId="28" applyFont="1" applyBorder="1" applyAlignment="1">
      <alignment vertical="center"/>
    </xf>
    <xf numFmtId="167" fontId="37" fillId="0" borderId="22" xfId="28" applyFont="1" applyFill="1" applyBorder="1" applyAlignment="1">
      <alignment horizontal="left" vertical="center"/>
    </xf>
    <xf numFmtId="167" fontId="38" fillId="0" borderId="22" xfId="28" applyFont="1" applyBorder="1" applyAlignment="1">
      <alignment horizontal="left" vertical="center"/>
    </xf>
    <xf numFmtId="0" fontId="5" fillId="0" borderId="24" xfId="0" applyFont="1" applyBorder="1" applyAlignment="1">
      <alignment horizontal="right" vertical="center"/>
    </xf>
    <xf numFmtId="0" fontId="5" fillId="0" borderId="24" xfId="0" applyFont="1" applyBorder="1" applyAlignment="1">
      <alignment vertical="center"/>
    </xf>
    <xf numFmtId="167" fontId="27" fillId="0" borderId="25" xfId="0" applyNumberFormat="1" applyFont="1" applyBorder="1" applyAlignment="1">
      <alignment vertical="center"/>
    </xf>
    <xf numFmtId="0" fontId="5" fillId="0" borderId="0" xfId="0" applyFont="1" applyBorder="1"/>
    <xf numFmtId="167" fontId="27" fillId="0" borderId="0" xfId="0" applyNumberFormat="1" applyFont="1" applyBorder="1"/>
    <xf numFmtId="0" fontId="39" fillId="0" borderId="10" xfId="0" applyFont="1" applyBorder="1" applyAlignment="1">
      <alignment horizontal="center"/>
    </xf>
    <xf numFmtId="0" fontId="39" fillId="0" borderId="11" xfId="0" applyFont="1" applyBorder="1" applyAlignment="1">
      <alignment horizontal="center"/>
    </xf>
    <xf numFmtId="0" fontId="39" fillId="0" borderId="12" xfId="0" applyFont="1" applyBorder="1" applyAlignment="1">
      <alignment horizontal="center" vertical="center"/>
    </xf>
    <xf numFmtId="0" fontId="39" fillId="0" borderId="13" xfId="0" applyFont="1" applyBorder="1" applyAlignment="1">
      <alignment horizontal="center" vertical="center"/>
    </xf>
    <xf numFmtId="0" fontId="39" fillId="0" borderId="14" xfId="0" applyFont="1" applyFill="1" applyBorder="1" applyAlignment="1">
      <alignment horizontal="center" vertical="center"/>
    </xf>
    <xf numFmtId="0" fontId="40" fillId="0" borderId="15" xfId="0" applyFont="1" applyFill="1" applyBorder="1" applyAlignment="1">
      <alignment horizontal="left" vertical="center"/>
    </xf>
    <xf numFmtId="0" fontId="39" fillId="0" borderId="15" xfId="0" applyFont="1" applyFill="1" applyBorder="1" applyAlignment="1">
      <alignment horizontal="center" vertical="center"/>
    </xf>
    <xf numFmtId="0" fontId="39" fillId="0" borderId="16" xfId="0" applyFont="1" applyFill="1" applyBorder="1" applyAlignment="1">
      <alignment horizontal="center" vertical="center"/>
    </xf>
    <xf numFmtId="0" fontId="41" fillId="0" borderId="15" xfId="0" applyFont="1" applyFill="1" applyBorder="1" applyAlignment="1">
      <alignment horizontal="left" vertical="center"/>
    </xf>
    <xf numFmtId="0" fontId="41" fillId="0" borderId="15" xfId="0" applyFont="1" applyFill="1" applyBorder="1" applyAlignment="1">
      <alignment horizontal="center" vertical="center"/>
    </xf>
    <xf numFmtId="0" fontId="41" fillId="0" borderId="16" xfId="0" applyFont="1" applyFill="1" applyBorder="1" applyAlignment="1">
      <alignment horizontal="center" vertical="center"/>
    </xf>
    <xf numFmtId="169" fontId="41" fillId="0" borderId="15" xfId="0" applyNumberFormat="1" applyFont="1" applyFill="1" applyBorder="1" applyAlignment="1">
      <alignment horizontal="center" vertical="center"/>
    </xf>
    <xf numFmtId="40" fontId="41" fillId="0" borderId="15" xfId="0" applyNumberFormat="1" applyFont="1" applyFill="1" applyBorder="1" applyAlignment="1">
      <alignment horizontal="right" vertical="center"/>
    </xf>
    <xf numFmtId="40" fontId="41" fillId="0" borderId="16" xfId="0" applyNumberFormat="1" applyFont="1" applyFill="1" applyBorder="1" applyAlignment="1">
      <alignment horizontal="center" vertical="center"/>
    </xf>
    <xf numFmtId="40" fontId="39" fillId="0" borderId="16" xfId="0" applyNumberFormat="1" applyFont="1" applyFill="1" applyBorder="1" applyAlignment="1">
      <alignment horizontal="right" vertical="center"/>
    </xf>
    <xf numFmtId="40" fontId="41" fillId="0" borderId="15" xfId="0" applyNumberFormat="1" applyFont="1" applyFill="1" applyBorder="1" applyAlignment="1">
      <alignment horizontal="center" vertical="center"/>
    </xf>
    <xf numFmtId="0" fontId="39" fillId="0" borderId="26" xfId="0" applyFont="1" applyFill="1" applyBorder="1" applyAlignment="1">
      <alignment horizontal="center" vertical="center"/>
    </xf>
    <xf numFmtId="0" fontId="41" fillId="0" borderId="24" xfId="0" applyFont="1" applyFill="1" applyBorder="1" applyAlignment="1">
      <alignment horizontal="left" vertical="center"/>
    </xf>
    <xf numFmtId="169" fontId="41" fillId="0" borderId="24" xfId="0" applyNumberFormat="1" applyFont="1" applyFill="1" applyBorder="1" applyAlignment="1">
      <alignment horizontal="center" vertical="center"/>
    </xf>
    <xf numFmtId="0" fontId="41" fillId="0" borderId="24" xfId="0" applyFont="1" applyFill="1" applyBorder="1" applyAlignment="1">
      <alignment horizontal="center" vertical="center"/>
    </xf>
    <xf numFmtId="40" fontId="41" fillId="0" borderId="24" xfId="0" applyNumberFormat="1" applyFont="1" applyFill="1" applyBorder="1" applyAlignment="1">
      <alignment horizontal="right" vertical="center"/>
    </xf>
    <xf numFmtId="40" fontId="39" fillId="0" borderId="25" xfId="0" applyNumberFormat="1" applyFont="1" applyFill="1" applyBorder="1" applyAlignment="1">
      <alignment horizontal="right" vertical="center"/>
    </xf>
    <xf numFmtId="0" fontId="40" fillId="0" borderId="15" xfId="0" applyFont="1" applyFill="1" applyBorder="1" applyAlignment="1">
      <alignment vertical="center"/>
    </xf>
    <xf numFmtId="167" fontId="41" fillId="0" borderId="15" xfId="28" applyFont="1" applyFill="1" applyBorder="1" applyAlignment="1">
      <alignment horizontal="center" vertical="center"/>
    </xf>
    <xf numFmtId="0" fontId="41" fillId="0" borderId="15" xfId="0" applyFont="1" applyFill="1" applyBorder="1" applyAlignment="1">
      <alignment vertical="center"/>
    </xf>
    <xf numFmtId="43" fontId="41" fillId="0" borderId="15" xfId="28" applyNumberFormat="1" applyFont="1" applyFill="1" applyBorder="1" applyAlignment="1">
      <alignment horizontal="right" vertical="center"/>
    </xf>
    <xf numFmtId="167" fontId="41" fillId="0" borderId="16" xfId="0" applyNumberFormat="1" applyFont="1" applyFill="1" applyBorder="1" applyAlignment="1">
      <alignment vertical="center"/>
    </xf>
    <xf numFmtId="4" fontId="41" fillId="0" borderId="15" xfId="0" applyNumberFormat="1" applyFont="1" applyFill="1" applyBorder="1" applyAlignment="1">
      <alignment vertical="center"/>
    </xf>
    <xf numFmtId="4" fontId="41" fillId="0" borderId="15" xfId="28" applyNumberFormat="1" applyFont="1" applyFill="1" applyBorder="1" applyAlignment="1">
      <alignment horizontal="right" vertical="center"/>
    </xf>
    <xf numFmtId="4" fontId="41" fillId="0" borderId="16" xfId="0" applyNumberFormat="1" applyFont="1" applyFill="1" applyBorder="1" applyAlignment="1">
      <alignment vertical="center"/>
    </xf>
    <xf numFmtId="169" fontId="41" fillId="0" borderId="15" xfId="28" applyNumberFormat="1" applyFont="1" applyFill="1" applyBorder="1" applyAlignment="1">
      <alignment horizontal="center" vertical="center"/>
    </xf>
    <xf numFmtId="173" fontId="41" fillId="0" borderId="15" xfId="28" applyNumberFormat="1" applyFont="1" applyFill="1" applyBorder="1" applyAlignment="1">
      <alignment horizontal="center" vertical="center"/>
    </xf>
    <xf numFmtId="0" fontId="41" fillId="0" borderId="14" xfId="0" applyFont="1" applyFill="1" applyBorder="1" applyAlignment="1">
      <alignment horizontal="right" vertical="center"/>
    </xf>
    <xf numFmtId="43" fontId="41" fillId="0" borderId="15" xfId="28" applyNumberFormat="1" applyFont="1" applyFill="1" applyBorder="1" applyAlignment="1">
      <alignment horizontal="center" vertical="center"/>
    </xf>
    <xf numFmtId="167" fontId="41" fillId="0" borderId="15" xfId="0" applyNumberFormat="1" applyFont="1" applyFill="1" applyBorder="1" applyAlignment="1">
      <alignment vertical="center"/>
    </xf>
    <xf numFmtId="167" fontId="39" fillId="0" borderId="16" xfId="0" applyNumberFormat="1" applyFont="1" applyFill="1" applyBorder="1" applyAlignment="1">
      <alignment vertical="center"/>
    </xf>
    <xf numFmtId="2" fontId="41" fillId="0" borderId="15" xfId="28" applyNumberFormat="1" applyFont="1" applyFill="1" applyBorder="1" applyAlignment="1">
      <alignment horizontal="center" vertical="center"/>
    </xf>
    <xf numFmtId="172" fontId="41" fillId="0" borderId="15" xfId="28" applyNumberFormat="1" applyFont="1" applyFill="1" applyBorder="1" applyAlignment="1">
      <alignment horizontal="center" vertical="center"/>
    </xf>
    <xf numFmtId="174" fontId="41" fillId="0" borderId="15" xfId="28" applyNumberFormat="1" applyFont="1" applyFill="1" applyBorder="1" applyAlignment="1">
      <alignment horizontal="center" vertical="center"/>
    </xf>
    <xf numFmtId="175" fontId="41" fillId="0" borderId="15" xfId="28" applyNumberFormat="1" applyFont="1" applyFill="1" applyBorder="1" applyAlignment="1">
      <alignment horizontal="center" vertical="center"/>
    </xf>
    <xf numFmtId="171" fontId="41" fillId="0" borderId="15" xfId="28" applyNumberFormat="1" applyFont="1" applyFill="1" applyBorder="1" applyAlignment="1">
      <alignment horizontal="center" vertical="center"/>
    </xf>
    <xf numFmtId="0" fontId="41" fillId="0" borderId="17" xfId="0" applyFont="1" applyBorder="1" applyAlignment="1">
      <alignment horizontal="right" vertical="center"/>
    </xf>
    <xf numFmtId="0" fontId="41" fillId="0" borderId="18" xfId="0" applyFont="1" applyBorder="1" applyAlignment="1">
      <alignment vertical="center"/>
    </xf>
    <xf numFmtId="43" fontId="41" fillId="0" borderId="18" xfId="28" applyNumberFormat="1" applyFont="1" applyBorder="1" applyAlignment="1">
      <alignment horizontal="right" vertical="center"/>
    </xf>
    <xf numFmtId="167" fontId="41" fillId="0" borderId="18" xfId="28" applyFont="1" applyBorder="1" applyAlignment="1">
      <alignment horizontal="right" vertical="center"/>
    </xf>
    <xf numFmtId="43" fontId="41" fillId="0" borderId="10" xfId="28" applyNumberFormat="1" applyFont="1" applyBorder="1" applyAlignment="1">
      <alignment horizontal="right" vertical="center"/>
    </xf>
    <xf numFmtId="167" fontId="39" fillId="0" borderId="11" xfId="0" applyNumberFormat="1" applyFont="1" applyBorder="1" applyAlignment="1">
      <alignment vertical="center"/>
    </xf>
    <xf numFmtId="0" fontId="41" fillId="0" borderId="19" xfId="0" applyFont="1" applyBorder="1" applyAlignment="1">
      <alignment vertical="center"/>
    </xf>
    <xf numFmtId="0" fontId="41" fillId="0" borderId="0" xfId="0" applyFont="1" applyBorder="1" applyAlignment="1">
      <alignment vertical="center"/>
    </xf>
    <xf numFmtId="167" fontId="41" fillId="0" borderId="0" xfId="28" applyFont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167" fontId="41" fillId="0" borderId="0" xfId="28" applyFont="1" applyBorder="1" applyAlignment="1">
      <alignment horizontal="right" vertical="center"/>
    </xf>
    <xf numFmtId="167" fontId="0" fillId="0" borderId="15" xfId="0" applyNumberFormat="1" applyFont="1" applyBorder="1" applyAlignment="1">
      <alignment vertical="center"/>
    </xf>
    <xf numFmtId="167" fontId="39" fillId="0" borderId="16" xfId="28" applyFont="1" applyBorder="1" applyAlignment="1">
      <alignment vertical="center"/>
    </xf>
    <xf numFmtId="167" fontId="42" fillId="0" borderId="17" xfId="28" applyFont="1" applyBorder="1" applyAlignment="1">
      <alignment vertical="center"/>
    </xf>
    <xf numFmtId="167" fontId="42" fillId="0" borderId="18" xfId="28" applyFont="1" applyBorder="1" applyAlignment="1">
      <alignment vertical="center"/>
    </xf>
    <xf numFmtId="0" fontId="41" fillId="0" borderId="10" xfId="0" applyFont="1" applyBorder="1" applyAlignment="1">
      <alignment horizontal="right" vertical="center"/>
    </xf>
    <xf numFmtId="0" fontId="41" fillId="0" borderId="10" xfId="0" applyFont="1" applyBorder="1" applyAlignment="1">
      <alignment vertical="center"/>
    </xf>
    <xf numFmtId="167" fontId="42" fillId="0" borderId="21" xfId="28" applyFont="1" applyBorder="1" applyAlignment="1">
      <alignment vertical="center"/>
    </xf>
    <xf numFmtId="167" fontId="43" fillId="0" borderId="22" xfId="28" applyFont="1" applyFill="1" applyBorder="1" applyAlignment="1">
      <alignment horizontal="left" vertical="center"/>
    </xf>
    <xf numFmtId="167" fontId="43" fillId="0" borderId="22" xfId="28" applyFont="1" applyBorder="1" applyAlignment="1">
      <alignment horizontal="left" vertical="center"/>
    </xf>
    <xf numFmtId="0" fontId="41" fillId="0" borderId="24" xfId="0" applyFont="1" applyBorder="1" applyAlignment="1">
      <alignment horizontal="right" vertical="center"/>
    </xf>
    <xf numFmtId="0" fontId="41" fillId="0" borderId="24" xfId="0" applyFont="1" applyBorder="1" applyAlignment="1">
      <alignment vertical="center"/>
    </xf>
    <xf numFmtId="167" fontId="39" fillId="0" borderId="25" xfId="0" applyNumberFormat="1" applyFont="1" applyBorder="1" applyAlignment="1">
      <alignment vertical="center"/>
    </xf>
    <xf numFmtId="0" fontId="41" fillId="0" borderId="0" xfId="0" applyFont="1" applyBorder="1"/>
    <xf numFmtId="167" fontId="39" fillId="0" borderId="0" xfId="0" applyNumberFormat="1" applyFont="1" applyBorder="1"/>
    <xf numFmtId="0" fontId="41" fillId="0" borderId="0" xfId="0" applyFont="1"/>
    <xf numFmtId="0" fontId="27" fillId="0" borderId="14" xfId="0" applyFont="1" applyBorder="1" applyAlignment="1">
      <alignment horizontal="center" vertical="center"/>
    </xf>
    <xf numFmtId="0" fontId="34" fillId="0" borderId="15" xfId="0" applyFont="1" applyBorder="1" applyAlignment="1">
      <alignment vertical="center"/>
    </xf>
    <xf numFmtId="167" fontId="5" fillId="0" borderId="15" xfId="28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5" xfId="0" applyFont="1" applyBorder="1" applyAlignment="1">
      <alignment vertical="center"/>
    </xf>
    <xf numFmtId="43" fontId="5" fillId="0" borderId="15" xfId="28" applyNumberFormat="1" applyFont="1" applyBorder="1" applyAlignment="1">
      <alignment horizontal="right" vertical="center"/>
    </xf>
    <xf numFmtId="167" fontId="5" fillId="0" borderId="16" xfId="0" applyNumberFormat="1" applyFont="1" applyBorder="1" applyAlignment="1">
      <alignment vertical="center"/>
    </xf>
    <xf numFmtId="4" fontId="5" fillId="0" borderId="15" xfId="0" applyNumberFormat="1" applyFont="1" applyBorder="1" applyAlignment="1">
      <alignment vertical="center"/>
    </xf>
    <xf numFmtId="4" fontId="5" fillId="0" borderId="15" xfId="28" applyNumberFormat="1" applyFont="1" applyBorder="1" applyAlignment="1">
      <alignment horizontal="right" vertical="center"/>
    </xf>
    <xf numFmtId="4" fontId="5" fillId="0" borderId="16" xfId="0" applyNumberFormat="1" applyFont="1" applyBorder="1" applyAlignment="1">
      <alignment vertical="center"/>
    </xf>
    <xf numFmtId="0" fontId="5" fillId="0" borderId="14" xfId="0" applyFont="1" applyBorder="1" applyAlignment="1">
      <alignment horizontal="right" vertical="center"/>
    </xf>
    <xf numFmtId="2" fontId="5" fillId="0" borderId="15" xfId="28" applyNumberFormat="1" applyFont="1" applyBorder="1" applyAlignment="1">
      <alignment horizontal="center" vertical="center"/>
    </xf>
    <xf numFmtId="43" fontId="5" fillId="0" borderId="15" xfId="28" applyNumberFormat="1" applyFont="1" applyBorder="1" applyAlignment="1">
      <alignment horizontal="center" vertical="center"/>
    </xf>
    <xf numFmtId="167" fontId="5" fillId="0" borderId="15" xfId="0" applyNumberFormat="1" applyFont="1" applyBorder="1" applyAlignment="1">
      <alignment vertical="center"/>
    </xf>
    <xf numFmtId="167" fontId="27" fillId="0" borderId="16" xfId="0" applyNumberFormat="1" applyFont="1" applyBorder="1" applyAlignment="1">
      <alignment vertical="center"/>
    </xf>
    <xf numFmtId="174" fontId="5" fillId="0" borderId="15" xfId="28" applyNumberFormat="1" applyFont="1" applyFill="1" applyBorder="1" applyAlignment="1">
      <alignment horizontal="center" vertical="center"/>
    </xf>
    <xf numFmtId="167" fontId="5" fillId="0" borderId="16" xfId="28" applyFont="1" applyBorder="1" applyAlignment="1">
      <alignment vertical="center"/>
    </xf>
    <xf numFmtId="167" fontId="36" fillId="0" borderId="20" xfId="28" applyFont="1" applyBorder="1" applyAlignment="1">
      <alignment vertical="center"/>
    </xf>
    <xf numFmtId="167" fontId="36" fillId="0" borderId="23" xfId="28" applyFont="1" applyBorder="1" applyAlignment="1">
      <alignment vertical="center"/>
    </xf>
    <xf numFmtId="0" fontId="39" fillId="0" borderId="14" xfId="0" applyFont="1" applyBorder="1" applyAlignment="1">
      <alignment horizontal="center" vertical="center"/>
    </xf>
    <xf numFmtId="0" fontId="40" fillId="0" borderId="15" xfId="0" applyFont="1" applyBorder="1" applyAlignment="1">
      <alignment vertical="center"/>
    </xf>
    <xf numFmtId="2" fontId="41" fillId="0" borderId="15" xfId="28" applyNumberFormat="1" applyFont="1" applyBorder="1" applyAlignment="1">
      <alignment horizontal="center" vertical="center"/>
    </xf>
    <xf numFmtId="0" fontId="41" fillId="0" borderId="15" xfId="0" applyFont="1" applyBorder="1" applyAlignment="1">
      <alignment horizontal="center" vertical="center"/>
    </xf>
    <xf numFmtId="167" fontId="41" fillId="0" borderId="15" xfId="0" applyNumberFormat="1" applyFont="1" applyBorder="1" applyAlignment="1">
      <alignment vertical="center"/>
    </xf>
    <xf numFmtId="43" fontId="41" fillId="0" borderId="15" xfId="28" applyNumberFormat="1" applyFont="1" applyBorder="1" applyAlignment="1">
      <alignment horizontal="right" vertical="center"/>
    </xf>
    <xf numFmtId="167" fontId="41" fillId="0" borderId="16" xfId="0" applyNumberFormat="1" applyFont="1" applyBorder="1" applyAlignment="1">
      <alignment vertical="center"/>
    </xf>
    <xf numFmtId="0" fontId="41" fillId="0" borderId="15" xfId="0" applyFont="1" applyBorder="1" applyAlignment="1">
      <alignment vertical="center"/>
    </xf>
    <xf numFmtId="0" fontId="41" fillId="0" borderId="14" xfId="0" applyFont="1" applyBorder="1" applyAlignment="1">
      <alignment horizontal="right" vertical="center"/>
    </xf>
    <xf numFmtId="43" fontId="41" fillId="0" borderId="15" xfId="28" applyNumberFormat="1" applyFont="1" applyBorder="1" applyAlignment="1">
      <alignment horizontal="center" vertical="center"/>
    </xf>
    <xf numFmtId="167" fontId="39" fillId="0" borderId="16" xfId="0" applyNumberFormat="1" applyFont="1" applyBorder="1" applyAlignment="1">
      <alignment vertical="center"/>
    </xf>
    <xf numFmtId="176" fontId="41" fillId="0" borderId="15" xfId="28" applyNumberFormat="1" applyFont="1" applyBorder="1" applyAlignment="1">
      <alignment horizontal="center" vertical="center"/>
    </xf>
    <xf numFmtId="0" fontId="41" fillId="0" borderId="27" xfId="0" applyFont="1" applyFill="1" applyBorder="1" applyAlignment="1">
      <alignment horizontal="right" vertical="center"/>
    </xf>
    <xf numFmtId="0" fontId="41" fillId="0" borderId="28" xfId="0" applyFont="1" applyFill="1" applyBorder="1" applyAlignment="1">
      <alignment vertical="center"/>
    </xf>
    <xf numFmtId="43" fontId="41" fillId="0" borderId="28" xfId="28" applyNumberFormat="1" applyFont="1" applyFill="1" applyBorder="1" applyAlignment="1">
      <alignment horizontal="right" vertical="center"/>
    </xf>
    <xf numFmtId="167" fontId="41" fillId="0" borderId="28" xfId="28" applyFont="1" applyFill="1" applyBorder="1" applyAlignment="1">
      <alignment horizontal="right" vertical="center"/>
    </xf>
    <xf numFmtId="43" fontId="41" fillId="0" borderId="29" xfId="28" applyNumberFormat="1" applyFont="1" applyFill="1" applyBorder="1" applyAlignment="1">
      <alignment horizontal="right" vertical="center"/>
    </xf>
    <xf numFmtId="167" fontId="39" fillId="0" borderId="30" xfId="0" applyNumberFormat="1" applyFont="1" applyFill="1" applyBorder="1" applyAlignment="1">
      <alignment vertical="center"/>
    </xf>
    <xf numFmtId="167" fontId="41" fillId="0" borderId="16" xfId="28" applyFont="1" applyBorder="1" applyAlignment="1">
      <alignment vertical="center"/>
    </xf>
    <xf numFmtId="167" fontId="42" fillId="0" borderId="20" xfId="28" applyFont="1" applyBorder="1" applyAlignment="1">
      <alignment vertical="center"/>
    </xf>
    <xf numFmtId="167" fontId="42" fillId="0" borderId="23" xfId="28" applyFont="1" applyBorder="1" applyAlignment="1">
      <alignment vertical="center"/>
    </xf>
    <xf numFmtId="176" fontId="5" fillId="0" borderId="15" xfId="28" applyNumberFormat="1" applyFont="1" applyBorder="1" applyAlignment="1">
      <alignment horizontal="center" vertical="center"/>
    </xf>
    <xf numFmtId="167" fontId="38" fillId="0" borderId="22" xfId="28" applyFont="1" applyFill="1" applyBorder="1" applyAlignment="1">
      <alignment horizontal="left" vertical="center"/>
    </xf>
    <xf numFmtId="167" fontId="35" fillId="0" borderId="0" xfId="28" applyFont="1" applyBorder="1" applyAlignment="1">
      <alignment horizontal="left" vertical="center"/>
    </xf>
    <xf numFmtId="0" fontId="27" fillId="0" borderId="12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34" fillId="0" borderId="15" xfId="0" applyFont="1" applyBorder="1"/>
    <xf numFmtId="167" fontId="5" fillId="0" borderId="15" xfId="28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5" xfId="0" applyFont="1" applyBorder="1"/>
    <xf numFmtId="43" fontId="5" fillId="0" borderId="15" xfId="28" applyNumberFormat="1" applyFont="1" applyBorder="1" applyAlignment="1">
      <alignment horizontal="right"/>
    </xf>
    <xf numFmtId="167" fontId="5" fillId="0" borderId="16" xfId="0" applyNumberFormat="1" applyFont="1" applyBorder="1"/>
    <xf numFmtId="0" fontId="5" fillId="0" borderId="14" xfId="0" applyFont="1" applyBorder="1" applyAlignment="1">
      <alignment horizontal="right"/>
    </xf>
    <xf numFmtId="2" fontId="5" fillId="0" borderId="15" xfId="28" applyNumberFormat="1" applyFont="1" applyBorder="1" applyAlignment="1">
      <alignment horizontal="center"/>
    </xf>
    <xf numFmtId="43" fontId="5" fillId="0" borderId="15" xfId="28" applyNumberFormat="1" applyFont="1" applyBorder="1" applyAlignment="1">
      <alignment horizontal="center"/>
    </xf>
    <xf numFmtId="167" fontId="5" fillId="0" borderId="15" xfId="0" applyNumberFormat="1" applyFont="1" applyBorder="1"/>
    <xf numFmtId="0" fontId="5" fillId="0" borderId="15" xfId="0" applyFont="1" applyBorder="1" applyAlignment="1"/>
    <xf numFmtId="0" fontId="5" fillId="0" borderId="17" xfId="0" applyFont="1" applyBorder="1" applyAlignment="1">
      <alignment horizontal="right"/>
    </xf>
    <xf numFmtId="0" fontId="5" fillId="0" borderId="18" xfId="0" applyFont="1" applyBorder="1"/>
    <xf numFmtId="43" fontId="5" fillId="0" borderId="18" xfId="28" applyNumberFormat="1" applyFont="1" applyBorder="1" applyAlignment="1">
      <alignment horizontal="right"/>
    </xf>
    <xf numFmtId="43" fontId="5" fillId="0" borderId="10" xfId="28" applyNumberFormat="1" applyFont="1" applyBorder="1" applyAlignment="1">
      <alignment horizontal="right"/>
    </xf>
    <xf numFmtId="167" fontId="27" fillId="0" borderId="11" xfId="0" applyNumberFormat="1" applyFont="1" applyBorder="1"/>
    <xf numFmtId="0" fontId="5" fillId="0" borderId="19" xfId="0" applyFont="1" applyBorder="1"/>
    <xf numFmtId="0" fontId="5" fillId="0" borderId="0" xfId="0" applyFont="1" applyBorder="1" applyAlignment="1"/>
    <xf numFmtId="167" fontId="5" fillId="0" borderId="0" xfId="28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167" fontId="24" fillId="0" borderId="15" xfId="0" applyNumberFormat="1" applyFont="1" applyBorder="1"/>
    <xf numFmtId="167" fontId="5" fillId="0" borderId="16" xfId="28" applyFont="1" applyBorder="1"/>
    <xf numFmtId="0" fontId="5" fillId="0" borderId="10" xfId="0" applyFont="1" applyBorder="1"/>
    <xf numFmtId="0" fontId="5" fillId="0" borderId="24" xfId="0" applyFont="1" applyBorder="1"/>
    <xf numFmtId="167" fontId="27" fillId="0" borderId="25" xfId="0" applyNumberFormat="1" applyFont="1" applyBorder="1"/>
    <xf numFmtId="0" fontId="27" fillId="0" borderId="29" xfId="0" applyFont="1" applyBorder="1" applyAlignment="1">
      <alignment horizontal="center"/>
    </xf>
    <xf numFmtId="0" fontId="34" fillId="0" borderId="29" xfId="0" applyFont="1" applyBorder="1"/>
    <xf numFmtId="167" fontId="5" fillId="0" borderId="29" xfId="28" applyFont="1" applyBorder="1"/>
    <xf numFmtId="0" fontId="5" fillId="0" borderId="29" xfId="0" applyFont="1" applyBorder="1"/>
    <xf numFmtId="167" fontId="27" fillId="0" borderId="29" xfId="0" applyNumberFormat="1" applyFont="1" applyBorder="1"/>
    <xf numFmtId="167" fontId="5" fillId="0" borderId="29" xfId="0" applyNumberFormat="1" applyFont="1" applyBorder="1"/>
    <xf numFmtId="177" fontId="5" fillId="0" borderId="15" xfId="28" applyNumberFormat="1" applyFont="1" applyBorder="1" applyAlignment="1">
      <alignment horizontal="center"/>
    </xf>
    <xf numFmtId="167" fontId="5" fillId="0" borderId="15" xfId="28" applyNumberFormat="1" applyFont="1" applyBorder="1"/>
    <xf numFmtId="167" fontId="27" fillId="0" borderId="15" xfId="28" applyNumberFormat="1" applyFont="1" applyBorder="1"/>
    <xf numFmtId="0" fontId="5" fillId="0" borderId="31" xfId="0" applyFont="1" applyBorder="1" applyAlignment="1"/>
    <xf numFmtId="0" fontId="5" fillId="0" borderId="28" xfId="0" applyFont="1" applyBorder="1"/>
    <xf numFmtId="167" fontId="5" fillId="0" borderId="28" xfId="28" applyFont="1" applyBorder="1" applyAlignment="1">
      <alignment horizontal="center"/>
    </xf>
    <xf numFmtId="167" fontId="5" fillId="0" borderId="28" xfId="28" applyFont="1" applyBorder="1" applyAlignment="1"/>
    <xf numFmtId="0" fontId="5" fillId="0" borderId="28" xfId="0" applyFont="1" applyBorder="1" applyAlignment="1">
      <alignment horizontal="center"/>
    </xf>
    <xf numFmtId="43" fontId="5" fillId="0" borderId="32" xfId="28" applyNumberFormat="1" applyFont="1" applyBorder="1" applyAlignment="1">
      <alignment horizontal="right"/>
    </xf>
    <xf numFmtId="0" fontId="5" fillId="0" borderId="33" xfId="0" applyFont="1" applyBorder="1" applyAlignment="1"/>
    <xf numFmtId="0" fontId="5" fillId="0" borderId="34" xfId="0" applyFont="1" applyBorder="1"/>
    <xf numFmtId="167" fontId="5" fillId="0" borderId="34" xfId="28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43" fontId="5" fillId="0" borderId="35" xfId="28" applyNumberFormat="1" applyFont="1" applyBorder="1" applyAlignment="1">
      <alignment horizontal="right"/>
    </xf>
    <xf numFmtId="167" fontId="5" fillId="0" borderId="12" xfId="0" applyNumberFormat="1" applyFont="1" applyBorder="1"/>
    <xf numFmtId="0" fontId="27" fillId="0" borderId="15" xfId="0" applyFont="1" applyBorder="1" applyAlignment="1">
      <alignment horizontal="center"/>
    </xf>
    <xf numFmtId="0" fontId="5" fillId="0" borderId="15" xfId="0" applyFont="1" applyBorder="1" applyAlignment="1">
      <alignment horizontal="right"/>
    </xf>
    <xf numFmtId="178" fontId="5" fillId="0" borderId="15" xfId="28" applyNumberFormat="1" applyFont="1" applyBorder="1" applyAlignment="1">
      <alignment horizontal="right"/>
    </xf>
    <xf numFmtId="0" fontId="5" fillId="0" borderId="31" xfId="0" applyFont="1" applyBorder="1" applyAlignment="1">
      <alignment horizontal="right"/>
    </xf>
    <xf numFmtId="43" fontId="5" fillId="0" borderId="28" xfId="28" applyNumberFormat="1" applyFont="1" applyBorder="1" applyAlignment="1">
      <alignment horizontal="right"/>
    </xf>
    <xf numFmtId="167" fontId="5" fillId="0" borderId="28" xfId="28" applyFont="1" applyBorder="1" applyAlignment="1">
      <alignment horizontal="left"/>
    </xf>
    <xf numFmtId="43" fontId="5" fillId="0" borderId="29" xfId="28" applyNumberFormat="1" applyFont="1" applyBorder="1" applyAlignment="1">
      <alignment horizontal="right"/>
    </xf>
    <xf numFmtId="0" fontId="5" fillId="0" borderId="33" xfId="0" applyFont="1" applyBorder="1"/>
    <xf numFmtId="0" fontId="5" fillId="0" borderId="34" xfId="0" applyFont="1" applyBorder="1" applyAlignment="1"/>
    <xf numFmtId="167" fontId="5" fillId="0" borderId="34" xfId="28" applyFont="1" applyBorder="1" applyAlignment="1">
      <alignment horizontal="left"/>
    </xf>
    <xf numFmtId="167" fontId="24" fillId="0" borderId="12" xfId="0" applyNumberFormat="1" applyFont="1" applyBorder="1"/>
    <xf numFmtId="167" fontId="5" fillId="0" borderId="12" xfId="28" applyFont="1" applyBorder="1"/>
    <xf numFmtId="167" fontId="36" fillId="0" borderId="31" xfId="28" applyFont="1" applyBorder="1" applyAlignment="1">
      <alignment vertical="center"/>
    </xf>
    <xf numFmtId="167" fontId="36" fillId="0" borderId="28" xfId="28" applyFont="1" applyBorder="1" applyAlignment="1">
      <alignment vertical="center"/>
    </xf>
    <xf numFmtId="167" fontId="36" fillId="0" borderId="32" xfId="28" applyFont="1" applyBorder="1" applyAlignment="1">
      <alignment vertical="center"/>
    </xf>
    <xf numFmtId="167" fontId="36" fillId="0" borderId="33" xfId="28" applyFont="1" applyBorder="1" applyAlignment="1">
      <alignment vertical="center"/>
    </xf>
    <xf numFmtId="167" fontId="38" fillId="0" borderId="34" xfId="28" applyFont="1" applyBorder="1" applyAlignment="1">
      <alignment horizontal="center" vertical="center"/>
    </xf>
    <xf numFmtId="167" fontId="36" fillId="0" borderId="34" xfId="28" applyFont="1" applyBorder="1" applyAlignment="1">
      <alignment vertical="center"/>
    </xf>
    <xf numFmtId="167" fontId="36" fillId="0" borderId="35" xfId="28" applyFont="1" applyBorder="1" applyAlignment="1">
      <alignment vertical="center"/>
    </xf>
    <xf numFmtId="0" fontId="5" fillId="0" borderId="12" xfId="0" applyFont="1" applyBorder="1"/>
    <xf numFmtId="167" fontId="27" fillId="0" borderId="12" xfId="0" applyNumberFormat="1" applyFont="1" applyBorder="1"/>
    <xf numFmtId="167" fontId="5" fillId="0" borderId="15" xfId="28" applyFont="1" applyBorder="1"/>
    <xf numFmtId="167" fontId="5" fillId="0" borderId="28" xfId="28" applyFont="1" applyBorder="1"/>
    <xf numFmtId="167" fontId="5" fillId="0" borderId="34" xfId="28" applyFont="1" applyBorder="1"/>
    <xf numFmtId="0" fontId="44" fillId="0" borderId="29" xfId="0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0" fontId="45" fillId="0" borderId="29" xfId="0" applyFont="1" applyBorder="1" applyAlignment="1">
      <alignment vertical="center"/>
    </xf>
    <xf numFmtId="167" fontId="35" fillId="0" borderId="29" xfId="28" applyFont="1" applyBorder="1" applyAlignment="1">
      <alignment vertical="center"/>
    </xf>
    <xf numFmtId="0" fontId="35" fillId="0" borderId="29" xfId="0" applyFont="1" applyBorder="1" applyAlignment="1">
      <alignment vertical="center"/>
    </xf>
    <xf numFmtId="167" fontId="44" fillId="0" borderId="29" xfId="0" applyNumberFormat="1" applyFont="1" applyBorder="1" applyAlignment="1">
      <alignment vertical="center"/>
    </xf>
    <xf numFmtId="167" fontId="35" fillId="0" borderId="29" xfId="0" applyNumberFormat="1" applyFont="1" applyBorder="1" applyAlignment="1">
      <alignment vertical="center"/>
    </xf>
    <xf numFmtId="0" fontId="35" fillId="0" borderId="15" xfId="0" applyFont="1" applyBorder="1" applyAlignment="1">
      <alignment vertical="center"/>
    </xf>
    <xf numFmtId="167" fontId="35" fillId="0" borderId="15" xfId="28" applyFont="1" applyBorder="1" applyAlignment="1">
      <alignment vertical="center"/>
    </xf>
    <xf numFmtId="0" fontId="35" fillId="0" borderId="15" xfId="0" applyFont="1" applyBorder="1" applyAlignment="1">
      <alignment horizontal="center" vertical="center"/>
    </xf>
    <xf numFmtId="167" fontId="35" fillId="0" borderId="15" xfId="28" applyNumberFormat="1" applyFont="1" applyBorder="1" applyAlignment="1">
      <alignment vertical="center"/>
    </xf>
    <xf numFmtId="167" fontId="44" fillId="0" borderId="15" xfId="28" applyNumberFormat="1" applyFont="1" applyBorder="1" applyAlignment="1">
      <alignment vertical="center"/>
    </xf>
    <xf numFmtId="0" fontId="35" fillId="0" borderId="31" xfId="0" applyFont="1" applyBorder="1" applyAlignment="1">
      <alignment vertical="center"/>
    </xf>
    <xf numFmtId="0" fontId="35" fillId="0" borderId="28" xfId="0" applyFont="1" applyBorder="1" applyAlignment="1">
      <alignment vertical="center"/>
    </xf>
    <xf numFmtId="167" fontId="35" fillId="0" borderId="28" xfId="28" applyFont="1" applyBorder="1" applyAlignment="1">
      <alignment vertical="center"/>
    </xf>
    <xf numFmtId="0" fontId="35" fillId="0" borderId="28" xfId="0" applyFont="1" applyBorder="1" applyAlignment="1">
      <alignment horizontal="center" vertical="center"/>
    </xf>
    <xf numFmtId="43" fontId="35" fillId="0" borderId="32" xfId="28" applyNumberFormat="1" applyFont="1" applyBorder="1" applyAlignment="1">
      <alignment horizontal="right" vertical="center"/>
    </xf>
    <xf numFmtId="0" fontId="35" fillId="0" borderId="33" xfId="0" applyFont="1" applyBorder="1" applyAlignment="1">
      <alignment vertical="center"/>
    </xf>
    <xf numFmtId="0" fontId="35" fillId="0" borderId="34" xfId="0" applyFont="1" applyBorder="1" applyAlignment="1">
      <alignment vertical="center"/>
    </xf>
    <xf numFmtId="167" fontId="35" fillId="0" borderId="34" xfId="28" applyFont="1" applyBorder="1" applyAlignment="1">
      <alignment vertical="center"/>
    </xf>
    <xf numFmtId="0" fontId="35" fillId="0" borderId="34" xfId="0" applyFont="1" applyBorder="1" applyAlignment="1">
      <alignment horizontal="center" vertical="center"/>
    </xf>
    <xf numFmtId="43" fontId="35" fillId="0" borderId="35" xfId="28" applyNumberFormat="1" applyFont="1" applyBorder="1" applyAlignment="1">
      <alignment horizontal="right" vertical="center"/>
    </xf>
    <xf numFmtId="167" fontId="35" fillId="0" borderId="12" xfId="0" applyNumberFormat="1" applyFont="1" applyBorder="1" applyAlignment="1">
      <alignment vertical="center"/>
    </xf>
    <xf numFmtId="0" fontId="44" fillId="0" borderId="15" xfId="0" applyFont="1" applyBorder="1" applyAlignment="1">
      <alignment horizontal="center" vertical="center"/>
    </xf>
    <xf numFmtId="0" fontId="46" fillId="0" borderId="15" xfId="0" applyFont="1" applyBorder="1" applyAlignment="1">
      <alignment vertical="center"/>
    </xf>
    <xf numFmtId="43" fontId="35" fillId="0" borderId="15" xfId="28" applyNumberFormat="1" applyFont="1" applyBorder="1" applyAlignment="1">
      <alignment horizontal="right" vertical="center"/>
    </xf>
    <xf numFmtId="167" fontId="35" fillId="0" borderId="15" xfId="0" applyNumberFormat="1" applyFont="1" applyBorder="1" applyAlignment="1">
      <alignment vertical="center"/>
    </xf>
    <xf numFmtId="0" fontId="35" fillId="0" borderId="15" xfId="0" applyFont="1" applyBorder="1" applyAlignment="1">
      <alignment horizontal="right" vertical="center"/>
    </xf>
    <xf numFmtId="43" fontId="35" fillId="0" borderId="15" xfId="28" applyNumberFormat="1" applyFont="1" applyBorder="1" applyAlignment="1">
      <alignment horizontal="center" vertical="center"/>
    </xf>
    <xf numFmtId="0" fontId="35" fillId="0" borderId="31" xfId="0" applyFont="1" applyBorder="1" applyAlignment="1">
      <alignment horizontal="right" vertical="center"/>
    </xf>
    <xf numFmtId="43" fontId="35" fillId="0" borderId="28" xfId="28" applyNumberFormat="1" applyFont="1" applyBorder="1" applyAlignment="1">
      <alignment horizontal="right" vertical="center"/>
    </xf>
    <xf numFmtId="167" fontId="35" fillId="0" borderId="28" xfId="28" applyFont="1" applyBorder="1" applyAlignment="1">
      <alignment horizontal="left" vertical="center"/>
    </xf>
    <xf numFmtId="43" fontId="35" fillId="0" borderId="29" xfId="28" applyNumberFormat="1" applyFont="1" applyBorder="1" applyAlignment="1">
      <alignment horizontal="right" vertical="center"/>
    </xf>
    <xf numFmtId="167" fontId="35" fillId="0" borderId="34" xfId="28" applyFont="1" applyBorder="1" applyAlignment="1">
      <alignment horizontal="center" vertical="center"/>
    </xf>
    <xf numFmtId="167" fontId="35" fillId="0" borderId="34" xfId="28" applyFont="1" applyBorder="1" applyAlignment="1">
      <alignment horizontal="left" vertical="center"/>
    </xf>
    <xf numFmtId="167" fontId="47" fillId="0" borderId="12" xfId="0" applyNumberFormat="1" applyFont="1" applyBorder="1" applyAlignment="1">
      <alignment vertical="center"/>
    </xf>
    <xf numFmtId="167" fontId="35" fillId="0" borderId="12" xfId="28" applyFont="1" applyBorder="1" applyAlignment="1">
      <alignment vertical="center"/>
    </xf>
    <xf numFmtId="167" fontId="48" fillId="0" borderId="31" xfId="28" applyFont="1" applyBorder="1" applyAlignment="1">
      <alignment vertical="center"/>
    </xf>
    <xf numFmtId="167" fontId="48" fillId="0" borderId="28" xfId="28" applyFont="1" applyBorder="1" applyAlignment="1">
      <alignment vertical="center"/>
    </xf>
    <xf numFmtId="167" fontId="48" fillId="0" borderId="32" xfId="28" applyFont="1" applyBorder="1" applyAlignment="1">
      <alignment vertical="center"/>
    </xf>
    <xf numFmtId="167" fontId="48" fillId="0" borderId="33" xfId="28" applyFont="1" applyBorder="1" applyAlignment="1">
      <alignment vertical="center"/>
    </xf>
    <xf numFmtId="167" fontId="48" fillId="0" borderId="34" xfId="28" applyFont="1" applyBorder="1" applyAlignment="1">
      <alignment vertical="center"/>
    </xf>
    <xf numFmtId="167" fontId="48" fillId="0" borderId="35" xfId="28" applyFont="1" applyBorder="1" applyAlignment="1">
      <alignment vertical="center"/>
    </xf>
    <xf numFmtId="0" fontId="35" fillId="0" borderId="12" xfId="0" applyFont="1" applyBorder="1" applyAlignment="1">
      <alignment vertical="center"/>
    </xf>
    <xf numFmtId="0" fontId="35" fillId="0" borderId="0" xfId="0" applyFont="1" applyBorder="1"/>
    <xf numFmtId="167" fontId="44" fillId="0" borderId="0" xfId="0" applyNumberFormat="1" applyFont="1" applyBorder="1"/>
    <xf numFmtId="0" fontId="35" fillId="0" borderId="0" xfId="0" applyFont="1"/>
    <xf numFmtId="0" fontId="24" fillId="0" borderId="0" xfId="0" applyFont="1" applyAlignment="1"/>
    <xf numFmtId="167" fontId="24" fillId="0" borderId="0" xfId="28" applyFont="1" applyAlignment="1"/>
    <xf numFmtId="0" fontId="34" fillId="0" borderId="0" xfId="0" applyFont="1" applyAlignment="1"/>
    <xf numFmtId="167" fontId="34" fillId="0" borderId="0" xfId="28" applyFont="1" applyAlignment="1"/>
    <xf numFmtId="167" fontId="27" fillId="0" borderId="0" xfId="28" applyFont="1"/>
    <xf numFmtId="179" fontId="24" fillId="0" borderId="0" xfId="0" applyNumberFormat="1" applyFont="1"/>
    <xf numFmtId="0" fontId="24" fillId="0" borderId="0" xfId="0" applyFont="1" applyAlignment="1">
      <alignment horizontal="center"/>
    </xf>
    <xf numFmtId="166" fontId="24" fillId="0" borderId="0" xfId="0" applyNumberFormat="1" applyFont="1"/>
    <xf numFmtId="0" fontId="27" fillId="24" borderId="29" xfId="0" applyFont="1" applyFill="1" applyBorder="1" applyAlignment="1">
      <alignment horizontal="center"/>
    </xf>
    <xf numFmtId="0" fontId="27" fillId="24" borderId="12" xfId="0" applyFont="1" applyFill="1" applyBorder="1" applyAlignment="1">
      <alignment horizontal="center"/>
    </xf>
    <xf numFmtId="0" fontId="27" fillId="0" borderId="36" xfId="0" applyFont="1" applyBorder="1" applyAlignment="1">
      <alignment horizontal="right"/>
    </xf>
    <xf numFmtId="0" fontId="34" fillId="0" borderId="36" xfId="0" applyFont="1" applyBorder="1"/>
    <xf numFmtId="0" fontId="5" fillId="0" borderId="36" xfId="0" applyFont="1" applyBorder="1"/>
    <xf numFmtId="0" fontId="5" fillId="0" borderId="36" xfId="0" applyFont="1" applyBorder="1" applyAlignment="1">
      <alignment horizontal="right"/>
    </xf>
    <xf numFmtId="167" fontId="5" fillId="0" borderId="36" xfId="0" applyNumberFormat="1" applyFont="1" applyBorder="1"/>
    <xf numFmtId="0" fontId="5" fillId="0" borderId="36" xfId="0" applyFont="1" applyBorder="1" applyAlignment="1">
      <alignment horizontal="center"/>
    </xf>
    <xf numFmtId="167" fontId="24" fillId="0" borderId="0" xfId="0" applyNumberFormat="1" applyFont="1" applyAlignment="1">
      <alignment horizontal="right"/>
    </xf>
    <xf numFmtId="167" fontId="27" fillId="0" borderId="36" xfId="0" applyNumberFormat="1" applyFont="1" applyBorder="1"/>
    <xf numFmtId="167" fontId="27" fillId="0" borderId="36" xfId="0" applyNumberFormat="1" applyFont="1" applyBorder="1" applyAlignment="1">
      <alignment horizontal="center"/>
    </xf>
    <xf numFmtId="0" fontId="5" fillId="0" borderId="29" xfId="0" applyFont="1" applyBorder="1" applyAlignment="1">
      <alignment horizontal="right"/>
    </xf>
    <xf numFmtId="0" fontId="5" fillId="0" borderId="29" xfId="0" applyFont="1" applyBorder="1" applyAlignment="1">
      <alignment horizontal="center"/>
    </xf>
    <xf numFmtId="0" fontId="27" fillId="0" borderId="37" xfId="0" applyFont="1" applyBorder="1" applyAlignment="1">
      <alignment horizontal="center"/>
    </xf>
    <xf numFmtId="0" fontId="5" fillId="0" borderId="37" xfId="0" applyFont="1" applyBorder="1"/>
    <xf numFmtId="167" fontId="5" fillId="0" borderId="37" xfId="0" applyNumberFormat="1" applyFont="1" applyBorder="1"/>
    <xf numFmtId="167" fontId="27" fillId="0" borderId="37" xfId="0" applyNumberFormat="1" applyFont="1" applyBorder="1"/>
    <xf numFmtId="0" fontId="27" fillId="0" borderId="38" xfId="0" applyFont="1" applyBorder="1" applyAlignment="1">
      <alignment horizontal="center"/>
    </xf>
    <xf numFmtId="167" fontId="5" fillId="0" borderId="18" xfId="0" applyNumberFormat="1" applyFont="1" applyBorder="1"/>
    <xf numFmtId="0" fontId="5" fillId="0" borderId="20" xfId="0" applyFont="1" applyBorder="1"/>
    <xf numFmtId="0" fontId="27" fillId="0" borderId="15" xfId="0" applyFont="1" applyBorder="1" applyAlignment="1">
      <alignment horizontal="right"/>
    </xf>
    <xf numFmtId="167" fontId="27" fillId="0" borderId="15" xfId="0" applyNumberFormat="1" applyFont="1" applyBorder="1"/>
    <xf numFmtId="167" fontId="36" fillId="0" borderId="39" xfId="28" applyFont="1" applyBorder="1" applyAlignment="1">
      <alignment vertical="center"/>
    </xf>
    <xf numFmtId="0" fontId="24" fillId="0" borderId="0" xfId="0" applyFont="1" applyBorder="1"/>
    <xf numFmtId="0" fontId="24" fillId="0" borderId="40" xfId="0" applyFont="1" applyBorder="1"/>
    <xf numFmtId="167" fontId="36" fillId="0" borderId="0" xfId="28" applyFont="1" applyBorder="1" applyAlignment="1">
      <alignment vertical="center"/>
    </xf>
    <xf numFmtId="0" fontId="24" fillId="0" borderId="34" xfId="0" applyFont="1" applyBorder="1"/>
    <xf numFmtId="0" fontId="24" fillId="0" borderId="35" xfId="0" applyFont="1" applyBorder="1"/>
    <xf numFmtId="0" fontId="27" fillId="0" borderId="12" xfId="0" applyFont="1" applyBorder="1" applyAlignment="1">
      <alignment horizontal="right"/>
    </xf>
    <xf numFmtId="180" fontId="24" fillId="0" borderId="0" xfId="28" applyNumberFormat="1" applyFont="1"/>
    <xf numFmtId="167" fontId="4" fillId="0" borderId="15" xfId="28" applyFont="1" applyBorder="1"/>
    <xf numFmtId="181" fontId="5" fillId="0" borderId="15" xfId="28" applyNumberFormat="1" applyFont="1" applyBorder="1"/>
    <xf numFmtId="167" fontId="5" fillId="0" borderId="15" xfId="28" applyFont="1" applyBorder="1" applyAlignment="1">
      <alignment horizontal="right"/>
    </xf>
    <xf numFmtId="167" fontId="5" fillId="0" borderId="0" xfId="28" applyFont="1" applyBorder="1"/>
    <xf numFmtId="0" fontId="5" fillId="0" borderId="32" xfId="0" applyFont="1" applyBorder="1"/>
    <xf numFmtId="0" fontId="5" fillId="0" borderId="35" xfId="0" applyFont="1" applyBorder="1"/>
    <xf numFmtId="43" fontId="5" fillId="0" borderId="12" xfId="28" applyNumberFormat="1" applyFont="1" applyBorder="1" applyAlignment="1">
      <alignment horizontal="right"/>
    </xf>
    <xf numFmtId="167" fontId="34" fillId="0" borderId="15" xfId="28" applyFont="1" applyBorder="1"/>
    <xf numFmtId="182" fontId="5" fillId="0" borderId="15" xfId="28" applyNumberFormat="1" applyFont="1" applyBorder="1" applyAlignment="1">
      <alignment horizontal="right"/>
    </xf>
    <xf numFmtId="167" fontId="5" fillId="0" borderId="15" xfId="28" applyFont="1" applyBorder="1" applyAlignment="1"/>
    <xf numFmtId="0" fontId="5" fillId="0" borderId="28" xfId="0" applyFont="1" applyBorder="1" applyAlignment="1"/>
    <xf numFmtId="0" fontId="5" fillId="0" borderId="33" xfId="0" applyFont="1" applyBorder="1" applyAlignment="1">
      <alignment horizontal="right"/>
    </xf>
    <xf numFmtId="43" fontId="5" fillId="0" borderId="34" xfId="28" applyNumberFormat="1" applyFont="1" applyBorder="1" applyAlignment="1">
      <alignment horizontal="right"/>
    </xf>
    <xf numFmtId="167" fontId="5" fillId="0" borderId="31" xfId="28" applyFont="1" applyBorder="1" applyAlignment="1">
      <alignment vertical="center"/>
    </xf>
    <xf numFmtId="0" fontId="3" fillId="0" borderId="0" xfId="0" applyFont="1"/>
    <xf numFmtId="0" fontId="49" fillId="0" borderId="0" xfId="0" applyFont="1" applyAlignment="1">
      <alignment horizontal="center"/>
    </xf>
    <xf numFmtId="0" fontId="49" fillId="0" borderId="29" xfId="0" applyFont="1" applyBorder="1" applyAlignment="1">
      <alignment horizontal="center"/>
    </xf>
    <xf numFmtId="0" fontId="49" fillId="0" borderId="12" xfId="0" applyFont="1" applyBorder="1" applyAlignment="1">
      <alignment horizontal="center"/>
    </xf>
    <xf numFmtId="0" fontId="49" fillId="0" borderId="15" xfId="0" applyFont="1" applyBorder="1" applyAlignment="1">
      <alignment horizontal="center"/>
    </xf>
    <xf numFmtId="167" fontId="50" fillId="0" borderId="15" xfId="28" applyFont="1" applyBorder="1"/>
    <xf numFmtId="167" fontId="3" fillId="0" borderId="15" xfId="28" applyFont="1" applyBorder="1"/>
    <xf numFmtId="0" fontId="3" fillId="0" borderId="15" xfId="0" applyFont="1" applyBorder="1"/>
    <xf numFmtId="167" fontId="49" fillId="0" borderId="15" xfId="0" applyNumberFormat="1" applyFont="1" applyBorder="1"/>
    <xf numFmtId="167" fontId="3" fillId="0" borderId="15" xfId="0" applyNumberFormat="1" applyFont="1" applyBorder="1"/>
    <xf numFmtId="0" fontId="3" fillId="0" borderId="15" xfId="0" applyFont="1" applyBorder="1" applyAlignment="1"/>
    <xf numFmtId="0" fontId="3" fillId="0" borderId="15" xfId="0" applyFont="1" applyBorder="1" applyAlignment="1">
      <alignment horizontal="center"/>
    </xf>
    <xf numFmtId="167" fontId="3" fillId="0" borderId="15" xfId="28" applyFont="1" applyBorder="1" applyAlignment="1">
      <alignment horizontal="right"/>
    </xf>
    <xf numFmtId="43" fontId="3" fillId="0" borderId="15" xfId="28" applyNumberFormat="1" applyFont="1" applyBorder="1" applyAlignment="1">
      <alignment horizontal="right"/>
    </xf>
    <xf numFmtId="0" fontId="3" fillId="0" borderId="31" xfId="0" applyFont="1" applyBorder="1" applyAlignment="1"/>
    <xf numFmtId="167" fontId="3" fillId="0" borderId="28" xfId="28" applyFont="1" applyBorder="1"/>
    <xf numFmtId="167" fontId="3" fillId="0" borderId="28" xfId="28" applyFont="1" applyBorder="1" applyAlignment="1"/>
    <xf numFmtId="0" fontId="3" fillId="0" borderId="28" xfId="0" applyFont="1" applyBorder="1" applyAlignment="1">
      <alignment horizontal="center"/>
    </xf>
    <xf numFmtId="0" fontId="3" fillId="0" borderId="32" xfId="0" applyFont="1" applyBorder="1"/>
    <xf numFmtId="43" fontId="3" fillId="0" borderId="29" xfId="28" applyNumberFormat="1" applyFont="1" applyBorder="1" applyAlignment="1">
      <alignment horizontal="right"/>
    </xf>
    <xf numFmtId="167" fontId="3" fillId="0" borderId="29" xfId="0" applyNumberFormat="1" applyFont="1" applyBorder="1"/>
    <xf numFmtId="0" fontId="3" fillId="0" borderId="33" xfId="0" applyFont="1" applyBorder="1" applyAlignment="1"/>
    <xf numFmtId="167" fontId="3" fillId="0" borderId="34" xfId="28" applyFont="1" applyBorder="1"/>
    <xf numFmtId="0" fontId="3" fillId="0" borderId="34" xfId="0" applyFont="1" applyBorder="1" applyAlignment="1">
      <alignment horizontal="center"/>
    </xf>
    <xf numFmtId="0" fontId="3" fillId="0" borderId="35" xfId="0" applyFont="1" applyBorder="1"/>
    <xf numFmtId="43" fontId="3" fillId="0" borderId="12" xfId="28" applyNumberFormat="1" applyFont="1" applyBorder="1" applyAlignment="1">
      <alignment horizontal="right"/>
    </xf>
    <xf numFmtId="167" fontId="3" fillId="0" borderId="12" xfId="0" applyNumberFormat="1" applyFont="1" applyBorder="1"/>
    <xf numFmtId="167" fontId="51" fillId="0" borderId="15" xfId="28" applyFont="1" applyBorder="1"/>
    <xf numFmtId="0" fontId="3" fillId="0" borderId="15" xfId="0" applyFont="1" applyBorder="1" applyAlignment="1">
      <alignment horizontal="right"/>
    </xf>
    <xf numFmtId="43" fontId="3" fillId="0" borderId="15" xfId="28" applyNumberFormat="1" applyFont="1" applyBorder="1" applyAlignment="1">
      <alignment horizontal="center"/>
    </xf>
    <xf numFmtId="167" fontId="3" fillId="0" borderId="15" xfId="28" applyFont="1" applyBorder="1" applyAlignment="1">
      <alignment horizontal="center"/>
    </xf>
    <xf numFmtId="0" fontId="3" fillId="0" borderId="15" xfId="28" applyNumberFormat="1" applyFont="1" applyBorder="1" applyAlignment="1"/>
    <xf numFmtId="0" fontId="3" fillId="0" borderId="31" xfId="0" applyFont="1" applyBorder="1" applyAlignment="1">
      <alignment horizontal="right"/>
    </xf>
    <xf numFmtId="0" fontId="3" fillId="0" borderId="28" xfId="0" applyFont="1" applyBorder="1" applyAlignment="1"/>
    <xf numFmtId="43" fontId="3" fillId="0" borderId="28" xfId="28" applyNumberFormat="1" applyFont="1" applyBorder="1" applyAlignment="1">
      <alignment horizontal="right"/>
    </xf>
    <xf numFmtId="167" fontId="3" fillId="0" borderId="28" xfId="28" applyFont="1" applyBorder="1" applyAlignment="1">
      <alignment horizontal="left"/>
    </xf>
    <xf numFmtId="43" fontId="3" fillId="0" borderId="32" xfId="28" applyNumberFormat="1" applyFont="1" applyBorder="1" applyAlignment="1">
      <alignment horizontal="right"/>
    </xf>
    <xf numFmtId="167" fontId="3" fillId="0" borderId="29" xfId="28" applyFont="1" applyBorder="1"/>
    <xf numFmtId="0" fontId="3" fillId="0" borderId="39" xfId="0" applyFont="1" applyBorder="1" applyAlignment="1">
      <alignment horizontal="right"/>
    </xf>
    <xf numFmtId="0" fontId="3" fillId="0" borderId="0" xfId="0" applyFont="1" applyBorder="1" applyAlignment="1"/>
    <xf numFmtId="43" fontId="3" fillId="0" borderId="0" xfId="28" applyNumberFormat="1" applyFont="1" applyBorder="1" applyAlignment="1">
      <alignment horizontal="right"/>
    </xf>
    <xf numFmtId="167" fontId="3" fillId="0" borderId="0" xfId="28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43" fontId="3" fillId="0" borderId="40" xfId="28" applyNumberFormat="1" applyFont="1" applyBorder="1" applyAlignment="1">
      <alignment horizontal="right"/>
    </xf>
    <xf numFmtId="167" fontId="3" fillId="0" borderId="31" xfId="28" applyFont="1" applyBorder="1" applyAlignment="1">
      <alignment vertical="center"/>
    </xf>
    <xf numFmtId="167" fontId="52" fillId="0" borderId="28" xfId="28" applyFont="1" applyBorder="1" applyAlignment="1">
      <alignment vertical="center"/>
    </xf>
    <xf numFmtId="167" fontId="52" fillId="0" borderId="32" xfId="28" applyFont="1" applyBorder="1" applyAlignment="1">
      <alignment vertical="center"/>
    </xf>
    <xf numFmtId="0" fontId="3" fillId="0" borderId="29" xfId="0" applyFont="1" applyBorder="1"/>
    <xf numFmtId="167" fontId="49" fillId="0" borderId="29" xfId="0" applyNumberFormat="1" applyFont="1" applyBorder="1"/>
    <xf numFmtId="167" fontId="3" fillId="0" borderId="39" xfId="28" applyFont="1" applyBorder="1" applyAlignment="1">
      <alignment vertical="center"/>
    </xf>
    <xf numFmtId="167" fontId="52" fillId="0" borderId="0" xfId="28" applyFont="1" applyBorder="1" applyAlignment="1">
      <alignment vertical="center"/>
    </xf>
    <xf numFmtId="167" fontId="52" fillId="0" borderId="40" xfId="28" applyFont="1" applyBorder="1" applyAlignment="1">
      <alignment vertical="center"/>
    </xf>
    <xf numFmtId="0" fontId="3" fillId="0" borderId="24" xfId="0" applyFont="1" applyBorder="1"/>
    <xf numFmtId="167" fontId="49" fillId="0" borderId="24" xfId="0" applyNumberFormat="1" applyFont="1" applyBorder="1"/>
    <xf numFmtId="167" fontId="52" fillId="0" borderId="33" xfId="28" applyFont="1" applyBorder="1" applyAlignment="1">
      <alignment vertical="center"/>
    </xf>
    <xf numFmtId="167" fontId="52" fillId="0" borderId="34" xfId="28" applyFont="1" applyBorder="1" applyAlignment="1">
      <alignment vertical="center"/>
    </xf>
    <xf numFmtId="167" fontId="52" fillId="0" borderId="35" xfId="28" applyFont="1" applyBorder="1" applyAlignment="1">
      <alignment vertical="center"/>
    </xf>
    <xf numFmtId="0" fontId="3" fillId="0" borderId="12" xfId="0" applyFont="1" applyBorder="1"/>
    <xf numFmtId="167" fontId="49" fillId="0" borderId="12" xfId="0" applyNumberFormat="1" applyFont="1" applyBorder="1"/>
    <xf numFmtId="0" fontId="3" fillId="0" borderId="0" xfId="0" applyFont="1" applyBorder="1"/>
    <xf numFmtId="167" fontId="49" fillId="0" borderId="0" xfId="0" applyNumberFormat="1" applyFont="1" applyBorder="1"/>
    <xf numFmtId="0" fontId="19" fillId="0" borderId="0" xfId="0" applyFont="1" applyAlignment="1">
      <alignment horizontal="center"/>
    </xf>
    <xf numFmtId="0" fontId="55" fillId="0" borderId="41" xfId="0" applyFont="1" applyBorder="1" applyAlignment="1">
      <alignment horizontal="center" vertical="center"/>
    </xf>
    <xf numFmtId="0" fontId="55" fillId="0" borderId="41" xfId="0" applyFont="1" applyBorder="1" applyAlignment="1">
      <alignment horizontal="center"/>
    </xf>
    <xf numFmtId="0" fontId="55" fillId="0" borderId="42" xfId="0" applyFont="1" applyBorder="1" applyAlignment="1">
      <alignment horizontal="center"/>
    </xf>
    <xf numFmtId="0" fontId="55" fillId="0" borderId="12" xfId="0" applyFont="1" applyBorder="1" applyAlignment="1">
      <alignment horizontal="center" vertical="center"/>
    </xf>
    <xf numFmtId="0" fontId="55" fillId="0" borderId="43" xfId="0" applyFont="1" applyBorder="1" applyAlignment="1">
      <alignment horizontal="center" vertical="center"/>
    </xf>
    <xf numFmtId="0" fontId="55" fillId="0" borderId="44" xfId="0" applyFont="1" applyBorder="1" applyAlignment="1">
      <alignment horizontal="center" vertical="center"/>
    </xf>
    <xf numFmtId="0" fontId="56" fillId="0" borderId="29" xfId="0" applyFont="1" applyBorder="1" applyAlignment="1">
      <alignment vertical="center"/>
    </xf>
    <xf numFmtId="0" fontId="24" fillId="0" borderId="29" xfId="0" applyFont="1" applyBorder="1" applyAlignment="1">
      <alignment horizontal="center"/>
    </xf>
    <xf numFmtId="0" fontId="24" fillId="0" borderId="29" xfId="0" applyFont="1" applyBorder="1"/>
    <xf numFmtId="0" fontId="24" fillId="0" borderId="45" xfId="0" applyFont="1" applyBorder="1"/>
    <xf numFmtId="0" fontId="24" fillId="0" borderId="46" xfId="0" applyFont="1" applyBorder="1"/>
    <xf numFmtId="0" fontId="24" fillId="0" borderId="15" xfId="0" applyFont="1" applyBorder="1" applyAlignment="1">
      <alignment vertical="center"/>
    </xf>
    <xf numFmtId="2" fontId="24" fillId="0" borderId="15" xfId="0" applyNumberFormat="1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4" fontId="24" fillId="0" borderId="15" xfId="0" applyNumberFormat="1" applyFont="1" applyBorder="1" applyAlignment="1">
      <alignment vertical="center"/>
    </xf>
    <xf numFmtId="4" fontId="24" fillId="0" borderId="47" xfId="0" applyNumberFormat="1" applyFont="1" applyBorder="1" applyAlignment="1">
      <alignment vertical="center"/>
    </xf>
    <xf numFmtId="0" fontId="24" fillId="0" borderId="15" xfId="0" applyFont="1" applyBorder="1"/>
    <xf numFmtId="4" fontId="55" fillId="0" borderId="47" xfId="0" applyNumberFormat="1" applyFont="1" applyBorder="1" applyAlignment="1">
      <alignment vertical="center"/>
    </xf>
    <xf numFmtId="2" fontId="24" fillId="0" borderId="15" xfId="0" applyNumberFormat="1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4" fontId="24" fillId="0" borderId="15" xfId="0" applyNumberFormat="1" applyFont="1" applyBorder="1"/>
    <xf numFmtId="4" fontId="24" fillId="0" borderId="47" xfId="0" applyNumberFormat="1" applyFont="1" applyBorder="1"/>
    <xf numFmtId="0" fontId="24" fillId="0" borderId="48" xfId="0" applyFont="1" applyBorder="1"/>
    <xf numFmtId="0" fontId="24" fillId="0" borderId="49" xfId="0" applyFont="1" applyBorder="1"/>
    <xf numFmtId="2" fontId="24" fillId="0" borderId="49" xfId="0" applyNumberFormat="1" applyFont="1" applyBorder="1" applyAlignment="1">
      <alignment horizontal="center"/>
    </xf>
    <xf numFmtId="0" fontId="24" fillId="0" borderId="49" xfId="0" applyFont="1" applyBorder="1" applyAlignment="1">
      <alignment horizontal="center"/>
    </xf>
    <xf numFmtId="4" fontId="24" fillId="0" borderId="49" xfId="0" applyNumberFormat="1" applyFont="1" applyBorder="1"/>
    <xf numFmtId="4" fontId="24" fillId="0" borderId="50" xfId="0" applyNumberFormat="1" applyFont="1" applyBorder="1"/>
    <xf numFmtId="0" fontId="57" fillId="0" borderId="51" xfId="0" applyFont="1" applyBorder="1" applyAlignment="1">
      <alignment vertical="center"/>
    </xf>
    <xf numFmtId="0" fontId="24" fillId="0" borderId="52" xfId="0" applyFont="1" applyBorder="1" applyAlignment="1">
      <alignment vertical="center"/>
    </xf>
    <xf numFmtId="0" fontId="24" fillId="0" borderId="53" xfId="0" applyFont="1" applyBorder="1" applyAlignment="1">
      <alignment vertical="center"/>
    </xf>
    <xf numFmtId="4" fontId="24" fillId="0" borderId="41" xfId="0" applyNumberFormat="1" applyFont="1" applyBorder="1" applyAlignment="1">
      <alignment vertical="center"/>
    </xf>
    <xf numFmtId="4" fontId="55" fillId="0" borderId="54" xfId="0" applyNumberFormat="1" applyFont="1" applyBorder="1" applyAlignment="1">
      <alignment vertical="center"/>
    </xf>
    <xf numFmtId="0" fontId="24" fillId="0" borderId="55" xfId="0" applyFont="1" applyBorder="1" applyAlignment="1">
      <alignment vertical="center"/>
    </xf>
    <xf numFmtId="0" fontId="55" fillId="0" borderId="56" xfId="0" applyFont="1" applyBorder="1" applyAlignment="1">
      <alignment vertical="center"/>
    </xf>
    <xf numFmtId="0" fontId="24" fillId="0" borderId="56" xfId="0" applyFont="1" applyBorder="1" applyAlignment="1">
      <alignment vertical="center"/>
    </xf>
    <xf numFmtId="0" fontId="24" fillId="0" borderId="57" xfId="0" applyFont="1" applyBorder="1" applyAlignment="1">
      <alignment vertical="center"/>
    </xf>
    <xf numFmtId="4" fontId="24" fillId="0" borderId="58" xfId="0" applyNumberFormat="1" applyFont="1" applyBorder="1" applyAlignment="1">
      <alignment vertical="center"/>
    </xf>
    <xf numFmtId="4" fontId="55" fillId="0" borderId="59" xfId="0" applyNumberFormat="1" applyFont="1" applyBorder="1" applyAlignment="1">
      <alignment vertical="center"/>
    </xf>
    <xf numFmtId="2" fontId="24" fillId="0" borderId="0" xfId="0" applyNumberFormat="1" applyFont="1" applyAlignment="1">
      <alignment horizontal="center"/>
    </xf>
    <xf numFmtId="4" fontId="24" fillId="0" borderId="0" xfId="0" applyNumberFormat="1" applyFont="1"/>
    <xf numFmtId="0" fontId="19" fillId="0" borderId="0" xfId="0" applyFont="1" applyAlignment="1"/>
    <xf numFmtId="0" fontId="54" fillId="0" borderId="0" xfId="0" applyFont="1" applyAlignment="1"/>
    <xf numFmtId="0" fontId="0" fillId="0" borderId="0" xfId="0" applyAlignment="1">
      <alignment horizontal="center"/>
    </xf>
    <xf numFmtId="4" fontId="0" fillId="0" borderId="0" xfId="0" applyNumberFormat="1"/>
    <xf numFmtId="0" fontId="0" fillId="0" borderId="0" xfId="0" applyAlignment="1">
      <alignment horizontal="right"/>
    </xf>
    <xf numFmtId="0" fontId="0" fillId="0" borderId="22" xfId="0" applyBorder="1"/>
    <xf numFmtId="0" fontId="19" fillId="0" borderId="0" xfId="0" applyFont="1"/>
    <xf numFmtId="0" fontId="19" fillId="0" borderId="0" xfId="0" applyFont="1" applyFill="1" applyBorder="1"/>
    <xf numFmtId="185" fontId="0" fillId="0" borderId="0" xfId="0" applyNumberFormat="1"/>
    <xf numFmtId="178" fontId="0" fillId="0" borderId="0" xfId="0" applyNumberFormat="1"/>
    <xf numFmtId="0" fontId="0" fillId="0" borderId="0" xfId="0" applyFont="1"/>
    <xf numFmtId="0" fontId="58" fillId="0" borderId="0" xfId="0" applyFont="1"/>
    <xf numFmtId="0" fontId="0" fillId="0" borderId="22" xfId="0" applyFont="1" applyFill="1" applyBorder="1" applyAlignment="1"/>
    <xf numFmtId="0" fontId="0" fillId="0" borderId="0" xfId="0" applyFont="1" applyFill="1" applyBorder="1" applyAlignment="1"/>
    <xf numFmtId="0" fontId="0" fillId="0" borderId="0" xfId="0" applyAlignment="1">
      <alignment horizontal="left"/>
    </xf>
    <xf numFmtId="38" fontId="0" fillId="0" borderId="0" xfId="0" applyNumberFormat="1" applyFont="1" applyFill="1" applyAlignment="1">
      <alignment horizontal="left"/>
    </xf>
    <xf numFmtId="38" fontId="0" fillId="0" borderId="22" xfId="0" applyNumberFormat="1" applyFont="1" applyFill="1" applyBorder="1" applyAlignment="1">
      <alignment horizontal="left"/>
    </xf>
    <xf numFmtId="38" fontId="0" fillId="0" borderId="0" xfId="0" applyNumberFormat="1" applyFont="1" applyFill="1" applyAlignment="1"/>
    <xf numFmtId="0" fontId="0" fillId="0" borderId="0" xfId="0" applyAlignment="1"/>
    <xf numFmtId="183" fontId="19" fillId="0" borderId="0" xfId="0" applyNumberFormat="1" applyFont="1" applyFill="1" applyAlignment="1">
      <alignment horizontal="left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7" xfId="0" applyBorder="1" applyAlignment="1">
      <alignment horizontal="center" vertical="center" wrapText="1"/>
    </xf>
    <xf numFmtId="0" fontId="0" fillId="0" borderId="60" xfId="0" applyBorder="1" applyAlignment="1">
      <alignment horizontal="center"/>
    </xf>
    <xf numFmtId="0" fontId="0" fillId="0" borderId="10" xfId="0" applyBorder="1"/>
    <xf numFmtId="0" fontId="0" fillId="0" borderId="61" xfId="0" applyBorder="1"/>
    <xf numFmtId="0" fontId="0" fillId="0" borderId="11" xfId="0" applyBorder="1"/>
    <xf numFmtId="0" fontId="0" fillId="0" borderId="14" xfId="0" applyBorder="1" applyAlignment="1">
      <alignment horizontal="center"/>
    </xf>
    <xf numFmtId="0" fontId="0" fillId="0" borderId="15" xfId="0" applyBorder="1"/>
    <xf numFmtId="0" fontId="0" fillId="0" borderId="36" xfId="0" applyBorder="1"/>
    <xf numFmtId="0" fontId="0" fillId="0" borderId="36" xfId="0" applyBorder="1" applyAlignment="1">
      <alignment horizontal="center"/>
    </xf>
    <xf numFmtId="0" fontId="0" fillId="0" borderId="16" xfId="0" applyBorder="1"/>
    <xf numFmtId="0" fontId="0" fillId="0" borderId="14" xfId="0" applyBorder="1"/>
    <xf numFmtId="0" fontId="61" fillId="0" borderId="36" xfId="0" applyFont="1" applyBorder="1" applyAlignment="1">
      <alignment horizontal="center"/>
    </xf>
    <xf numFmtId="0" fontId="13" fillId="0" borderId="36" xfId="0" applyFont="1" applyBorder="1" applyAlignment="1">
      <alignment horizontal="center"/>
    </xf>
    <xf numFmtId="0" fontId="0" fillId="0" borderId="39" xfId="0" applyBorder="1"/>
    <xf numFmtId="0" fontId="0" fillId="0" borderId="62" xfId="0" applyBorder="1"/>
    <xf numFmtId="0" fontId="0" fillId="0" borderId="15" xfId="0" applyBorder="1" applyAlignment="1">
      <alignment vertical="center"/>
    </xf>
    <xf numFmtId="0" fontId="0" fillId="0" borderId="6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6" xfId="0" applyBorder="1"/>
    <xf numFmtId="0" fontId="0" fillId="0" borderId="64" xfId="0" applyBorder="1"/>
    <xf numFmtId="0" fontId="0" fillId="0" borderId="24" xfId="0" applyBorder="1"/>
    <xf numFmtId="0" fontId="0" fillId="0" borderId="65" xfId="0" applyBorder="1"/>
    <xf numFmtId="0" fontId="0" fillId="0" borderId="37" xfId="0" applyBorder="1" applyAlignment="1">
      <alignment horizontal="center"/>
    </xf>
    <xf numFmtId="0" fontId="0" fillId="0" borderId="37" xfId="0" applyBorder="1"/>
    <xf numFmtId="0" fontId="0" fillId="0" borderId="25" xfId="0" applyBorder="1"/>
    <xf numFmtId="0" fontId="59" fillId="0" borderId="0" xfId="0" applyFont="1" applyAlignment="1"/>
    <xf numFmtId="0" fontId="60" fillId="0" borderId="0" xfId="0" applyFont="1" applyAlignment="1"/>
    <xf numFmtId="0" fontId="0" fillId="0" borderId="66" xfId="0" applyFont="1" applyFill="1" applyBorder="1" applyAlignment="1"/>
    <xf numFmtId="0" fontId="18" fillId="0" borderId="36" xfId="0" applyFont="1" applyBorder="1" applyAlignment="1">
      <alignment horizontal="center"/>
    </xf>
    <xf numFmtId="0" fontId="0" fillId="0" borderId="67" xfId="0" applyFont="1" applyFill="1" applyBorder="1" applyAlignment="1"/>
    <xf numFmtId="0" fontId="13" fillId="0" borderId="67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68" xfId="0" applyFont="1" applyFill="1" applyBorder="1" applyAlignment="1"/>
    <xf numFmtId="0" fontId="0" fillId="0" borderId="36" xfId="0" applyBorder="1" applyAlignment="1">
      <alignment vertical="center"/>
    </xf>
    <xf numFmtId="0" fontId="0" fillId="0" borderId="37" xfId="0" applyFont="1" applyFill="1" applyBorder="1" applyAlignment="1">
      <alignment horizontal="center" vertical="center" wrapText="1"/>
    </xf>
    <xf numFmtId="0" fontId="62" fillId="0" borderId="36" xfId="0" applyFont="1" applyBorder="1" applyAlignment="1">
      <alignment horizontal="center"/>
    </xf>
    <xf numFmtId="0" fontId="0" fillId="0" borderId="30" xfId="0" applyFont="1" applyFill="1" applyBorder="1" applyAlignment="1"/>
    <xf numFmtId="0" fontId="0" fillId="0" borderId="13" xfId="0" applyFont="1" applyFill="1" applyBorder="1" applyAlignment="1"/>
    <xf numFmtId="0" fontId="0" fillId="0" borderId="32" xfId="0" applyBorder="1"/>
    <xf numFmtId="0" fontId="0" fillId="0" borderId="29" xfId="0" applyBorder="1" applyAlignment="1">
      <alignment horizontal="center"/>
    </xf>
    <xf numFmtId="0" fontId="29" fillId="0" borderId="15" xfId="0" quotePrefix="1" applyFont="1" applyBorder="1" applyAlignment="1">
      <alignment vertical="center"/>
    </xf>
    <xf numFmtId="0" fontId="29" fillId="0" borderId="15" xfId="0" quotePrefix="1" applyFont="1" applyFill="1" applyBorder="1" applyAlignment="1">
      <alignment horizontal="left" vertical="center"/>
    </xf>
    <xf numFmtId="0" fontId="41" fillId="0" borderId="15" xfId="0" quotePrefix="1" applyFont="1" applyFill="1" applyBorder="1" applyAlignment="1">
      <alignment vertical="center"/>
    </xf>
    <xf numFmtId="0" fontId="5" fillId="0" borderId="15" xfId="0" quotePrefix="1" applyFont="1" applyBorder="1" applyAlignment="1">
      <alignment vertical="center"/>
    </xf>
    <xf numFmtId="0" fontId="0" fillId="0" borderId="0" xfId="0" quotePrefix="1"/>
    <xf numFmtId="0" fontId="0" fillId="0" borderId="22" xfId="0" quotePrefix="1" applyFont="1" applyFill="1" applyBorder="1" applyAlignment="1">
      <alignment horizontal="left"/>
    </xf>
    <xf numFmtId="0" fontId="0" fillId="0" borderId="22" xfId="0" quotePrefix="1" applyFont="1" applyFill="1" applyBorder="1" applyAlignment="1"/>
    <xf numFmtId="0" fontId="0" fillId="0" borderId="0" xfId="0" quotePrefix="1" applyAlignment="1">
      <alignment horizontal="center"/>
    </xf>
    <xf numFmtId="14" fontId="0" fillId="0" borderId="15" xfId="0" quotePrefix="1" applyNumberFormat="1" applyBorder="1" applyAlignment="1">
      <alignment horizontal="center"/>
    </xf>
    <xf numFmtId="0" fontId="0" fillId="0" borderId="15" xfId="0" quotePrefix="1" applyBorder="1" applyAlignment="1">
      <alignment horizontal="center"/>
    </xf>
    <xf numFmtId="0" fontId="0" fillId="0" borderId="36" xfId="0" quotePrefix="1" applyBorder="1"/>
    <xf numFmtId="43" fontId="64" fillId="0" borderId="15" xfId="28" applyNumberFormat="1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4" fontId="29" fillId="0" borderId="15" xfId="0" applyNumberFormat="1" applyFont="1" applyBorder="1" applyAlignment="1">
      <alignment horizontal="right" vertical="center"/>
    </xf>
    <xf numFmtId="0" fontId="65" fillId="0" borderId="15" xfId="0" applyFont="1" applyBorder="1" applyAlignment="1">
      <alignment vertical="center"/>
    </xf>
    <xf numFmtId="0" fontId="64" fillId="0" borderId="15" xfId="0" applyFont="1" applyBorder="1" applyAlignment="1">
      <alignment vertical="center"/>
    </xf>
    <xf numFmtId="167" fontId="66" fillId="0" borderId="22" xfId="28" applyFont="1" applyBorder="1" applyAlignment="1">
      <alignment horizontal="left" vertical="center"/>
    </xf>
    <xf numFmtId="0" fontId="69" fillId="0" borderId="0" xfId="0" applyFont="1" applyAlignment="1"/>
    <xf numFmtId="0" fontId="67" fillId="0" borderId="0" xfId="0" applyFont="1" applyAlignment="1"/>
    <xf numFmtId="0" fontId="68" fillId="0" borderId="0" xfId="0" applyFont="1" applyAlignment="1"/>
    <xf numFmtId="0" fontId="71" fillId="0" borderId="0" xfId="0" quotePrefix="1" applyFont="1"/>
    <xf numFmtId="0" fontId="71" fillId="0" borderId="0" xfId="0" applyFont="1"/>
    <xf numFmtId="0" fontId="29" fillId="0" borderId="0" xfId="0" applyFont="1" applyAlignment="1">
      <alignment horizontal="center"/>
    </xf>
    <xf numFmtId="0" fontId="26" fillId="0" borderId="69" xfId="0" applyFont="1" applyBorder="1" applyAlignment="1">
      <alignment horizontal="center" vertical="center"/>
    </xf>
    <xf numFmtId="0" fontId="64" fillId="0" borderId="0" xfId="0" applyFont="1" applyAlignment="1">
      <alignment horizontal="center"/>
    </xf>
    <xf numFmtId="167" fontId="73" fillId="0" borderId="16" xfId="0" applyNumberFormat="1" applyFont="1" applyBorder="1" applyAlignment="1">
      <alignment vertical="center"/>
    </xf>
    <xf numFmtId="0" fontId="29" fillId="0" borderId="22" xfId="0" applyFont="1" applyBorder="1" applyAlignment="1">
      <alignment vertical="center"/>
    </xf>
    <xf numFmtId="0" fontId="29" fillId="0" borderId="22" xfId="0" applyFont="1" applyBorder="1" applyAlignment="1">
      <alignment horizontal="center" vertical="center"/>
    </xf>
    <xf numFmtId="167" fontId="29" fillId="0" borderId="22" xfId="28" applyFont="1" applyBorder="1" applyAlignment="1">
      <alignment horizontal="right" vertical="center"/>
    </xf>
    <xf numFmtId="0" fontId="29" fillId="0" borderId="21" xfId="0" applyFont="1" applyBorder="1" applyAlignment="1">
      <alignment vertical="center"/>
    </xf>
    <xf numFmtId="167" fontId="29" fillId="0" borderId="22" xfId="28" applyFont="1" applyBorder="1" applyAlignment="1">
      <alignment horizontal="center" vertical="center"/>
    </xf>
    <xf numFmtId="0" fontId="29" fillId="0" borderId="69" xfId="0" applyFont="1" applyBorder="1" applyAlignment="1">
      <alignment horizontal="right" vertical="center"/>
    </xf>
    <xf numFmtId="0" fontId="29" fillId="0" borderId="12" xfId="0" applyFont="1" applyBorder="1" applyAlignment="1">
      <alignment vertical="center"/>
    </xf>
    <xf numFmtId="2" fontId="29" fillId="0" borderId="12" xfId="28" applyNumberFormat="1" applyFont="1" applyBorder="1" applyAlignment="1">
      <alignment horizontal="center" vertical="center"/>
    </xf>
    <xf numFmtId="43" fontId="29" fillId="0" borderId="12" xfId="28" applyNumberFormat="1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/>
    </xf>
    <xf numFmtId="167" fontId="29" fillId="0" borderId="12" xfId="0" applyNumberFormat="1" applyFont="1" applyBorder="1" applyAlignment="1">
      <alignment vertical="center"/>
    </xf>
    <xf numFmtId="43" fontId="29" fillId="0" borderId="12" xfId="28" applyNumberFormat="1" applyFont="1" applyBorder="1" applyAlignment="1">
      <alignment horizontal="right" vertical="center"/>
    </xf>
    <xf numFmtId="167" fontId="26" fillId="0" borderId="13" xfId="0" applyNumberFormat="1" applyFont="1" applyBorder="1" applyAlignment="1">
      <alignment vertical="center"/>
    </xf>
    <xf numFmtId="0" fontId="26" fillId="0" borderId="19" xfId="0" applyFont="1" applyBorder="1" applyAlignment="1">
      <alignment horizontal="center" vertical="center"/>
    </xf>
    <xf numFmtId="0" fontId="29" fillId="0" borderId="0" xfId="0" quotePrefix="1" applyFont="1" applyBorder="1" applyAlignment="1">
      <alignment vertical="center"/>
    </xf>
    <xf numFmtId="2" fontId="29" fillId="0" borderId="0" xfId="28" applyNumberFormat="1" applyFont="1" applyBorder="1" applyAlignment="1">
      <alignment horizontal="center" vertical="center"/>
    </xf>
    <xf numFmtId="167" fontId="29" fillId="0" borderId="0" xfId="0" applyNumberFormat="1" applyFont="1" applyBorder="1" applyAlignment="1">
      <alignment vertical="center"/>
    </xf>
    <xf numFmtId="0" fontId="29" fillId="0" borderId="40" xfId="0" applyFont="1" applyBorder="1" applyAlignment="1">
      <alignment vertical="center"/>
    </xf>
    <xf numFmtId="167" fontId="73" fillId="0" borderId="13" xfId="0" applyNumberFormat="1" applyFont="1" applyBorder="1" applyAlignment="1">
      <alignment vertical="center"/>
    </xf>
    <xf numFmtId="0" fontId="26" fillId="0" borderId="70" xfId="0" applyFont="1" applyBorder="1" applyAlignment="1">
      <alignment horizontal="center" vertical="center"/>
    </xf>
    <xf numFmtId="0" fontId="29" fillId="0" borderId="34" xfId="0" quotePrefix="1" applyFont="1" applyBorder="1" applyAlignment="1">
      <alignment vertical="center"/>
    </xf>
    <xf numFmtId="2" fontId="29" fillId="0" borderId="34" xfId="28" applyNumberFormat="1" applyFont="1" applyBorder="1" applyAlignment="1">
      <alignment horizontal="center" vertical="center"/>
    </xf>
    <xf numFmtId="0" fontId="29" fillId="0" borderId="34" xfId="0" applyFont="1" applyBorder="1" applyAlignment="1">
      <alignment horizontal="center" vertical="center"/>
    </xf>
    <xf numFmtId="167" fontId="29" fillId="0" borderId="34" xfId="0" applyNumberFormat="1" applyFont="1" applyBorder="1" applyAlignment="1">
      <alignment vertical="center"/>
    </xf>
    <xf numFmtId="167" fontId="29" fillId="0" borderId="40" xfId="28" applyFont="1" applyBorder="1" applyAlignment="1">
      <alignment horizontal="right" vertical="center"/>
    </xf>
    <xf numFmtId="4" fontId="29" fillId="0" borderId="12" xfId="0" applyNumberFormat="1" applyFont="1" applyBorder="1" applyAlignment="1">
      <alignment vertical="center"/>
    </xf>
    <xf numFmtId="4" fontId="29" fillId="0" borderId="12" xfId="28" applyNumberFormat="1" applyFont="1" applyBorder="1" applyAlignment="1">
      <alignment horizontal="right" vertical="center"/>
    </xf>
    <xf numFmtId="0" fontId="74" fillId="0" borderId="0" xfId="0" applyFont="1" applyBorder="1"/>
    <xf numFmtId="0" fontId="73" fillId="0" borderId="14" xfId="0" applyFont="1" applyBorder="1" applyAlignment="1">
      <alignment horizontal="center" vertical="center"/>
    </xf>
    <xf numFmtId="0" fontId="64" fillId="0" borderId="15" xfId="0" quotePrefix="1" applyFont="1" applyBorder="1" applyAlignment="1">
      <alignment vertical="center"/>
    </xf>
    <xf numFmtId="43" fontId="29" fillId="0" borderId="29" xfId="28" applyNumberFormat="1" applyFont="1" applyBorder="1" applyAlignment="1">
      <alignment horizontal="right" vertical="center"/>
    </xf>
    <xf numFmtId="0" fontId="26" fillId="0" borderId="27" xfId="0" applyFont="1" applyBorder="1" applyAlignment="1">
      <alignment horizontal="center" vertical="center"/>
    </xf>
    <xf numFmtId="0" fontId="29" fillId="0" borderId="28" xfId="0" quotePrefix="1" applyFont="1" applyBorder="1" applyAlignment="1">
      <alignment vertical="center"/>
    </xf>
    <xf numFmtId="2" fontId="29" fillId="0" borderId="28" xfId="28" applyNumberFormat="1" applyFont="1" applyBorder="1" applyAlignment="1">
      <alignment horizontal="center" vertical="center"/>
    </xf>
    <xf numFmtId="0" fontId="29" fillId="0" borderId="28" xfId="0" applyFont="1" applyBorder="1" applyAlignment="1">
      <alignment horizontal="center" vertical="center"/>
    </xf>
    <xf numFmtId="0" fontId="29" fillId="0" borderId="19" xfId="0" applyFont="1" applyBorder="1" applyAlignment="1">
      <alignment horizontal="right" vertical="center"/>
    </xf>
    <xf numFmtId="43" fontId="29" fillId="0" borderId="0" xfId="28" applyNumberFormat="1" applyFont="1" applyBorder="1" applyAlignment="1">
      <alignment horizontal="center" vertical="center"/>
    </xf>
    <xf numFmtId="167" fontId="29" fillId="0" borderId="40" xfId="0" applyNumberFormat="1" applyFont="1" applyBorder="1" applyAlignment="1">
      <alignment vertical="center"/>
    </xf>
    <xf numFmtId="0" fontId="29" fillId="0" borderId="21" xfId="0" applyFont="1" applyBorder="1" applyAlignment="1">
      <alignment horizontal="right" vertical="center"/>
    </xf>
    <xf numFmtId="2" fontId="29" fillId="0" borderId="22" xfId="28" applyNumberFormat="1" applyFont="1" applyBorder="1" applyAlignment="1">
      <alignment horizontal="center" vertical="center"/>
    </xf>
    <xf numFmtId="167" fontId="29" fillId="0" borderId="23" xfId="0" applyNumberFormat="1" applyFont="1" applyBorder="1" applyAlignment="1">
      <alignment vertical="center"/>
    </xf>
    <xf numFmtId="0" fontId="64" fillId="0" borderId="28" xfId="0" applyFont="1" applyBorder="1" applyAlignment="1">
      <alignment horizontal="center" vertical="center"/>
    </xf>
    <xf numFmtId="0" fontId="64" fillId="0" borderId="28" xfId="0" applyFont="1" applyBorder="1" applyAlignment="1">
      <alignment horizontal="right" vertical="center"/>
    </xf>
    <xf numFmtId="167" fontId="64" fillId="0" borderId="40" xfId="0" applyNumberFormat="1" applyFont="1" applyBorder="1" applyAlignment="1">
      <alignment horizontal="right" vertical="center"/>
    </xf>
    <xf numFmtId="0" fontId="73" fillId="0" borderId="0" xfId="0" applyFont="1" applyBorder="1"/>
    <xf numFmtId="0" fontId="0" fillId="0" borderId="0" xfId="0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70" fillId="0" borderId="0" xfId="0" applyFont="1" applyAlignment="1"/>
    <xf numFmtId="0" fontId="76" fillId="0" borderId="0" xfId="0" applyFont="1" applyAlignment="1"/>
    <xf numFmtId="0" fontId="0" fillId="0" borderId="71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71" fillId="0" borderId="73" xfId="0" applyFont="1" applyBorder="1" applyAlignment="1">
      <alignment horizontal="center" vertical="center"/>
    </xf>
    <xf numFmtId="0" fontId="71" fillId="0" borderId="0" xfId="0" quotePrefix="1" applyFont="1" applyBorder="1"/>
    <xf numFmtId="0" fontId="0" fillId="0" borderId="74" xfId="0" applyBorder="1"/>
    <xf numFmtId="0" fontId="71" fillId="0" borderId="0" xfId="0" applyFont="1" applyBorder="1"/>
    <xf numFmtId="0" fontId="0" fillId="0" borderId="52" xfId="0" applyBorder="1"/>
    <xf numFmtId="0" fontId="0" fillId="0" borderId="54" xfId="0" applyBorder="1"/>
    <xf numFmtId="0" fontId="0" fillId="0" borderId="75" xfId="0" applyBorder="1"/>
    <xf numFmtId="0" fontId="0" fillId="0" borderId="46" xfId="0" applyBorder="1" applyAlignment="1">
      <alignment horizontal="center"/>
    </xf>
    <xf numFmtId="0" fontId="0" fillId="0" borderId="41" xfId="0" applyBorder="1"/>
    <xf numFmtId="0" fontId="71" fillId="0" borderId="15" xfId="0" applyFont="1" applyBorder="1" applyAlignment="1">
      <alignment horizontal="center"/>
    </xf>
    <xf numFmtId="0" fontId="0" fillId="0" borderId="48" xfId="0" applyBorder="1"/>
    <xf numFmtId="0" fontId="0" fillId="0" borderId="49" xfId="0" applyBorder="1"/>
    <xf numFmtId="0" fontId="0" fillId="0" borderId="50" xfId="0" applyBorder="1"/>
    <xf numFmtId="0" fontId="71" fillId="0" borderId="74" xfId="0" applyFont="1" applyBorder="1"/>
    <xf numFmtId="0" fontId="78" fillId="0" borderId="0" xfId="0" applyFont="1" applyAlignment="1">
      <alignment horizontal="center"/>
    </xf>
    <xf numFmtId="0" fontId="44" fillId="0" borderId="41" xfId="0" applyFont="1" applyBorder="1" applyAlignment="1">
      <alignment horizontal="center" vertical="center"/>
    </xf>
    <xf numFmtId="0" fontId="44" fillId="0" borderId="42" xfId="0" applyFont="1" applyBorder="1" applyAlignment="1">
      <alignment horizontal="center" vertical="center"/>
    </xf>
    <xf numFmtId="0" fontId="44" fillId="0" borderId="49" xfId="0" applyFont="1" applyBorder="1" applyAlignment="1">
      <alignment horizontal="center" vertical="center"/>
    </xf>
    <xf numFmtId="0" fontId="44" fillId="0" borderId="50" xfId="0" applyFont="1" applyBorder="1" applyAlignment="1">
      <alignment horizontal="center" vertical="center"/>
    </xf>
    <xf numFmtId="0" fontId="0" fillId="0" borderId="42" xfId="0" applyBorder="1"/>
    <xf numFmtId="0" fontId="72" fillId="0" borderId="46" xfId="0" applyFont="1" applyBorder="1" applyAlignment="1">
      <alignment horizontal="center"/>
    </xf>
    <xf numFmtId="0" fontId="71" fillId="0" borderId="15" xfId="0" applyFont="1" applyBorder="1"/>
    <xf numFmtId="0" fontId="0" fillId="0" borderId="47" xfId="0" applyBorder="1"/>
    <xf numFmtId="0" fontId="0" fillId="0" borderId="46" xfId="0" applyBorder="1"/>
    <xf numFmtId="0" fontId="71" fillId="0" borderId="15" xfId="0" quotePrefix="1" applyFont="1" applyBorder="1"/>
    <xf numFmtId="3" fontId="0" fillId="0" borderId="15" xfId="0" applyNumberFormat="1" applyBorder="1"/>
    <xf numFmtId="0" fontId="35" fillId="0" borderId="76" xfId="0" applyFont="1" applyBorder="1" applyAlignment="1">
      <alignment horizontal="right" vertical="center"/>
    </xf>
    <xf numFmtId="167" fontId="35" fillId="0" borderId="45" xfId="0" applyNumberFormat="1" applyFont="1" applyBorder="1" applyAlignment="1">
      <alignment vertical="center"/>
    </xf>
    <xf numFmtId="0" fontId="35" fillId="0" borderId="77" xfId="0" applyFont="1" applyBorder="1" applyAlignment="1">
      <alignment vertical="center"/>
    </xf>
    <xf numFmtId="167" fontId="35" fillId="0" borderId="43" xfId="28" applyFont="1" applyBorder="1" applyAlignment="1">
      <alignment vertical="center"/>
    </xf>
    <xf numFmtId="167" fontId="48" fillId="0" borderId="76" xfId="28" applyFont="1" applyBorder="1" applyAlignment="1">
      <alignment vertical="center"/>
    </xf>
    <xf numFmtId="167" fontId="48" fillId="0" borderId="55" xfId="28" applyFont="1" applyBorder="1" applyAlignment="1">
      <alignment vertical="center"/>
    </xf>
    <xf numFmtId="167" fontId="48" fillId="0" borderId="56" xfId="28" applyFont="1" applyBorder="1" applyAlignment="1">
      <alignment vertical="center"/>
    </xf>
    <xf numFmtId="167" fontId="48" fillId="0" borderId="57" xfId="28" applyFont="1" applyBorder="1" applyAlignment="1">
      <alignment vertical="center"/>
    </xf>
    <xf numFmtId="0" fontId="35" fillId="0" borderId="49" xfId="0" applyFont="1" applyBorder="1" applyAlignment="1">
      <alignment vertical="center"/>
    </xf>
    <xf numFmtId="167" fontId="35" fillId="0" borderId="50" xfId="0" applyNumberFormat="1" applyFont="1" applyBorder="1" applyAlignment="1">
      <alignment vertical="center"/>
    </xf>
    <xf numFmtId="167" fontId="79" fillId="0" borderId="28" xfId="28" applyFont="1" applyBorder="1" applyAlignment="1">
      <alignment horizontal="left" vertical="center"/>
    </xf>
    <xf numFmtId="167" fontId="80" fillId="0" borderId="56" xfId="28" applyFont="1" applyBorder="1" applyAlignment="1">
      <alignment vertical="center"/>
    </xf>
    <xf numFmtId="167" fontId="64" fillId="0" borderId="15" xfId="28" applyFont="1" applyBorder="1" applyAlignment="1">
      <alignment horizontal="center" vertical="center"/>
    </xf>
    <xf numFmtId="43" fontId="64" fillId="0" borderId="15" xfId="28" applyNumberFormat="1" applyFont="1" applyBorder="1" applyAlignment="1">
      <alignment horizontal="right" vertical="center"/>
    </xf>
    <xf numFmtId="167" fontId="64" fillId="0" borderId="16" xfId="0" applyNumberFormat="1" applyFont="1" applyBorder="1" applyAlignment="1">
      <alignment vertical="center"/>
    </xf>
    <xf numFmtId="0" fontId="77" fillId="0" borderId="0" xfId="0" applyFont="1" applyBorder="1"/>
    <xf numFmtId="0" fontId="77" fillId="0" borderId="15" xfId="0" applyFont="1" applyBorder="1" applyAlignment="1">
      <alignment horizontal="center"/>
    </xf>
    <xf numFmtId="4" fontId="64" fillId="0" borderId="15" xfId="0" applyNumberFormat="1" applyFont="1" applyBorder="1" applyAlignment="1">
      <alignment horizontal="right" vertical="center"/>
    </xf>
    <xf numFmtId="4" fontId="64" fillId="0" borderId="15" xfId="28" applyNumberFormat="1" applyFont="1" applyBorder="1" applyAlignment="1">
      <alignment horizontal="right" vertical="center"/>
    </xf>
    <xf numFmtId="4" fontId="64" fillId="0" borderId="16" xfId="0" applyNumberFormat="1" applyFont="1" applyBorder="1" applyAlignment="1">
      <alignment vertical="center"/>
    </xf>
    <xf numFmtId="0" fontId="77" fillId="0" borderId="0" xfId="0" quotePrefix="1" applyFont="1" applyBorder="1"/>
    <xf numFmtId="0" fontId="64" fillId="0" borderId="14" xfId="0" applyFont="1" applyBorder="1" applyAlignment="1">
      <alignment horizontal="right" vertical="center"/>
    </xf>
    <xf numFmtId="2" fontId="64" fillId="0" borderId="15" xfId="28" applyNumberFormat="1" applyFont="1" applyBorder="1" applyAlignment="1">
      <alignment horizontal="center" vertical="center"/>
    </xf>
    <xf numFmtId="0" fontId="64" fillId="0" borderId="69" xfId="0" applyFont="1" applyBorder="1" applyAlignment="1">
      <alignment horizontal="right" vertical="center"/>
    </xf>
    <xf numFmtId="0" fontId="64" fillId="0" borderId="12" xfId="0" applyFont="1" applyBorder="1" applyAlignment="1">
      <alignment vertical="center"/>
    </xf>
    <xf numFmtId="2" fontId="64" fillId="0" borderId="12" xfId="28" applyNumberFormat="1" applyFont="1" applyBorder="1" applyAlignment="1">
      <alignment horizontal="center" vertical="center"/>
    </xf>
    <xf numFmtId="43" fontId="64" fillId="0" borderId="12" xfId="28" applyNumberFormat="1" applyFont="1" applyBorder="1" applyAlignment="1">
      <alignment horizontal="center" vertical="center"/>
    </xf>
    <xf numFmtId="0" fontId="64" fillId="0" borderId="12" xfId="0" applyFont="1" applyBorder="1" applyAlignment="1">
      <alignment horizontal="center" vertical="center"/>
    </xf>
    <xf numFmtId="0" fontId="77" fillId="0" borderId="15" xfId="0" quotePrefix="1" applyFont="1" applyBorder="1"/>
    <xf numFmtId="0" fontId="77" fillId="0" borderId="15" xfId="0" applyFont="1" applyBorder="1"/>
    <xf numFmtId="4" fontId="64" fillId="0" borderId="15" xfId="0" applyNumberFormat="1" applyFont="1" applyBorder="1" applyAlignment="1">
      <alignment vertical="center"/>
    </xf>
    <xf numFmtId="0" fontId="73" fillId="0" borderId="69" xfId="0" applyFont="1" applyBorder="1" applyAlignment="1">
      <alignment horizontal="center" vertical="center"/>
    </xf>
    <xf numFmtId="4" fontId="64" fillId="0" borderId="12" xfId="0" applyNumberFormat="1" applyFont="1" applyBorder="1" applyAlignment="1">
      <alignment vertical="center"/>
    </xf>
    <xf numFmtId="4" fontId="64" fillId="0" borderId="12" xfId="28" applyNumberFormat="1" applyFont="1" applyBorder="1" applyAlignment="1">
      <alignment horizontal="right" vertical="center"/>
    </xf>
    <xf numFmtId="0" fontId="73" fillId="0" borderId="19" xfId="0" applyFont="1" applyBorder="1" applyAlignment="1">
      <alignment horizontal="center" vertical="center"/>
    </xf>
    <xf numFmtId="0" fontId="64" fillId="0" borderId="0" xfId="0" applyFont="1" applyBorder="1" applyAlignment="1">
      <alignment vertical="center"/>
    </xf>
    <xf numFmtId="2" fontId="64" fillId="0" borderId="0" xfId="28" applyNumberFormat="1" applyFont="1" applyBorder="1" applyAlignment="1">
      <alignment horizontal="center" vertical="center"/>
    </xf>
    <xf numFmtId="0" fontId="64" fillId="0" borderId="0" xfId="0" applyFont="1" applyBorder="1" applyAlignment="1">
      <alignment horizontal="center" vertical="center"/>
    </xf>
    <xf numFmtId="167" fontId="64" fillId="0" borderId="0" xfId="28" applyFont="1" applyBorder="1" applyAlignment="1">
      <alignment horizontal="right" vertical="center"/>
    </xf>
    <xf numFmtId="167" fontId="64" fillId="0" borderId="40" xfId="28" applyFont="1" applyBorder="1" applyAlignment="1">
      <alignment horizontal="right" vertical="center"/>
    </xf>
    <xf numFmtId="0" fontId="73" fillId="0" borderId="70" xfId="0" applyFont="1" applyBorder="1" applyAlignment="1">
      <alignment horizontal="center" vertical="center"/>
    </xf>
    <xf numFmtId="0" fontId="64" fillId="0" borderId="34" xfId="0" quotePrefix="1" applyFont="1" applyBorder="1" applyAlignment="1">
      <alignment vertical="center"/>
    </xf>
    <xf numFmtId="2" fontId="64" fillId="0" borderId="34" xfId="28" applyNumberFormat="1" applyFont="1" applyBorder="1" applyAlignment="1">
      <alignment horizontal="center" vertical="center"/>
    </xf>
    <xf numFmtId="0" fontId="64" fillId="0" borderId="34" xfId="0" applyFont="1" applyBorder="1" applyAlignment="1">
      <alignment horizontal="center" vertical="center"/>
    </xf>
    <xf numFmtId="167" fontId="64" fillId="0" borderId="34" xfId="0" applyNumberFormat="1" applyFont="1" applyBorder="1" applyAlignment="1">
      <alignment vertical="center"/>
    </xf>
    <xf numFmtId="0" fontId="64" fillId="0" borderId="0" xfId="0" quotePrefix="1" applyFont="1" applyBorder="1" applyAlignment="1">
      <alignment vertical="center"/>
    </xf>
    <xf numFmtId="167" fontId="64" fillId="0" borderId="0" xfId="0" applyNumberFormat="1" applyFont="1" applyBorder="1" applyAlignment="1">
      <alignment vertical="center"/>
    </xf>
    <xf numFmtId="0" fontId="64" fillId="0" borderId="40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18" xfId="0" applyFont="1" applyBorder="1" applyAlignment="1">
      <alignment vertical="center"/>
    </xf>
    <xf numFmtId="43" fontId="64" fillId="0" borderId="18" xfId="28" applyNumberFormat="1" applyFont="1" applyBorder="1" applyAlignment="1">
      <alignment horizontal="right" vertical="center"/>
    </xf>
    <xf numFmtId="167" fontId="64" fillId="0" borderId="18" xfId="28" applyFont="1" applyBorder="1" applyAlignment="1">
      <alignment horizontal="right" vertical="center"/>
    </xf>
    <xf numFmtId="0" fontId="64" fillId="0" borderId="10" xfId="0" applyFont="1" applyBorder="1" applyAlignment="1">
      <alignment vertical="center"/>
    </xf>
    <xf numFmtId="167" fontId="73" fillId="0" borderId="11" xfId="0" applyNumberFormat="1" applyFont="1" applyBorder="1" applyAlignment="1">
      <alignment vertical="center"/>
    </xf>
    <xf numFmtId="0" fontId="64" fillId="0" borderId="21" xfId="0" applyFont="1" applyBorder="1" applyAlignment="1">
      <alignment vertical="center"/>
    </xf>
    <xf numFmtId="0" fontId="64" fillId="0" borderId="22" xfId="0" applyFont="1" applyBorder="1" applyAlignment="1">
      <alignment vertical="center"/>
    </xf>
    <xf numFmtId="167" fontId="64" fillId="0" borderId="22" xfId="28" applyFont="1" applyBorder="1" applyAlignment="1">
      <alignment horizontal="center" vertical="center"/>
    </xf>
    <xf numFmtId="0" fontId="64" fillId="0" borderId="22" xfId="0" applyFont="1" applyBorder="1" applyAlignment="1">
      <alignment horizontal="center" vertical="center"/>
    </xf>
    <xf numFmtId="167" fontId="64" fillId="0" borderId="22" xfId="28" applyFont="1" applyBorder="1" applyAlignment="1">
      <alignment horizontal="right" vertical="center"/>
    </xf>
    <xf numFmtId="0" fontId="64" fillId="0" borderId="24" xfId="0" applyFont="1" applyBorder="1" applyAlignment="1">
      <alignment vertical="center"/>
    </xf>
    <xf numFmtId="167" fontId="73" fillId="0" borderId="25" xfId="0" applyNumberFormat="1" applyFont="1" applyBorder="1" applyAlignment="1">
      <alignment vertical="center"/>
    </xf>
    <xf numFmtId="1" fontId="77" fillId="0" borderId="15" xfId="0" applyNumberFormat="1" applyFont="1" applyBorder="1" applyAlignment="1">
      <alignment horizontal="center"/>
    </xf>
    <xf numFmtId="1" fontId="64" fillId="0" borderId="15" xfId="28" applyNumberFormat="1" applyFont="1" applyBorder="1" applyAlignment="1">
      <alignment horizontal="center" vertical="center"/>
    </xf>
    <xf numFmtId="1" fontId="64" fillId="0" borderId="12" xfId="28" applyNumberFormat="1" applyFont="1" applyBorder="1" applyAlignment="1">
      <alignment horizontal="center" vertical="center"/>
    </xf>
    <xf numFmtId="4" fontId="77" fillId="0" borderId="15" xfId="0" applyNumberFormat="1" applyFont="1" applyBorder="1"/>
    <xf numFmtId="38" fontId="72" fillId="0" borderId="0" xfId="0" applyNumberFormat="1" applyFont="1" applyFill="1" applyAlignment="1">
      <alignment horizontal="left"/>
    </xf>
    <xf numFmtId="0" fontId="0" fillId="0" borderId="0" xfId="0" applyBorder="1"/>
    <xf numFmtId="38" fontId="71" fillId="0" borderId="0" xfId="0" applyNumberFormat="1" applyFont="1" applyFill="1" applyAlignment="1">
      <alignment horizontal="left"/>
    </xf>
    <xf numFmtId="0" fontId="71" fillId="0" borderId="0" xfId="0" applyFont="1" applyAlignment="1">
      <alignment horizontal="right"/>
    </xf>
    <xf numFmtId="0" fontId="72" fillId="0" borderId="0" xfId="0" applyFont="1"/>
    <xf numFmtId="2" fontId="77" fillId="0" borderId="15" xfId="0" applyNumberFormat="1" applyFont="1" applyBorder="1" applyAlignment="1">
      <alignment horizontal="center"/>
    </xf>
    <xf numFmtId="38" fontId="72" fillId="0" borderId="0" xfId="0" applyNumberFormat="1" applyFont="1" applyFill="1" applyAlignment="1"/>
    <xf numFmtId="0" fontId="0" fillId="0" borderId="0" xfId="0" applyFont="1" applyFill="1" applyBorder="1"/>
    <xf numFmtId="0" fontId="71" fillId="0" borderId="0" xfId="0" quotePrefix="1" applyFont="1" applyAlignment="1">
      <alignment horizontal="right"/>
    </xf>
    <xf numFmtId="38" fontId="72" fillId="0" borderId="0" xfId="0" applyNumberFormat="1" applyFont="1" applyFill="1" applyBorder="1" applyAlignment="1">
      <alignment horizontal="right"/>
    </xf>
    <xf numFmtId="0" fontId="71" fillId="0" borderId="0" xfId="0" applyFont="1" applyAlignment="1">
      <alignment horizontal="left"/>
    </xf>
    <xf numFmtId="0" fontId="71" fillId="0" borderId="0" xfId="0" quotePrefix="1" applyFont="1" applyAlignment="1">
      <alignment horizontal="left"/>
    </xf>
    <xf numFmtId="0" fontId="71" fillId="0" borderId="0" xfId="0" applyFont="1" applyAlignment="1"/>
    <xf numFmtId="0" fontId="81" fillId="0" borderId="0" xfId="0" quotePrefix="1" applyFont="1" applyBorder="1" applyAlignment="1"/>
    <xf numFmtId="0" fontId="74" fillId="0" borderId="0" xfId="0" applyFont="1"/>
    <xf numFmtId="0" fontId="30" fillId="0" borderId="0" xfId="0" quotePrefix="1" applyFont="1" applyBorder="1"/>
    <xf numFmtId="0" fontId="30" fillId="0" borderId="15" xfId="0" applyFont="1" applyBorder="1" applyAlignment="1">
      <alignment horizontal="center"/>
    </xf>
    <xf numFmtId="4" fontId="29" fillId="0" borderId="15" xfId="0" applyNumberFormat="1" applyFont="1" applyBorder="1" applyAlignment="1">
      <alignment horizontal="center" vertical="center"/>
    </xf>
    <xf numFmtId="4" fontId="29" fillId="0" borderId="15" xfId="28" applyNumberFormat="1" applyFont="1" applyBorder="1" applyAlignment="1">
      <alignment horizontal="center" vertical="center"/>
    </xf>
    <xf numFmtId="0" fontId="30" fillId="0" borderId="15" xfId="0" quotePrefix="1" applyFont="1" applyBorder="1"/>
    <xf numFmtId="0" fontId="25" fillId="0" borderId="0" xfId="0" applyFont="1" applyBorder="1"/>
    <xf numFmtId="0" fontId="26" fillId="0" borderId="0" xfId="0" applyFont="1" applyAlignment="1">
      <alignment horizontal="center"/>
    </xf>
    <xf numFmtId="0" fontId="26" fillId="0" borderId="29" xfId="0" applyFont="1" applyBorder="1" applyAlignment="1">
      <alignment horizontal="center"/>
    </xf>
    <xf numFmtId="0" fontId="26" fillId="0" borderId="12" xfId="0" applyFont="1" applyBorder="1" applyAlignment="1">
      <alignment horizontal="center"/>
    </xf>
    <xf numFmtId="0" fontId="28" fillId="0" borderId="29" xfId="0" applyFont="1" applyBorder="1"/>
    <xf numFmtId="167" fontId="29" fillId="0" borderId="29" xfId="28" applyFont="1" applyBorder="1"/>
    <xf numFmtId="0" fontId="29" fillId="0" borderId="29" xfId="0" applyFont="1" applyBorder="1"/>
    <xf numFmtId="167" fontId="26" fillId="0" borderId="29" xfId="0" applyNumberFormat="1" applyFont="1" applyBorder="1"/>
    <xf numFmtId="167" fontId="29" fillId="0" borderId="29" xfId="0" applyNumberFormat="1" applyFont="1" applyBorder="1"/>
    <xf numFmtId="0" fontId="29" fillId="0" borderId="15" xfId="0" applyFont="1" applyBorder="1" applyAlignment="1"/>
    <xf numFmtId="0" fontId="29" fillId="0" borderId="15" xfId="0" applyFont="1" applyBorder="1"/>
    <xf numFmtId="177" fontId="29" fillId="0" borderId="15" xfId="28" applyNumberFormat="1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167" fontId="29" fillId="0" borderId="15" xfId="28" applyNumberFormat="1" applyFont="1" applyBorder="1"/>
    <xf numFmtId="167" fontId="29" fillId="0" borderId="15" xfId="28" applyFont="1" applyBorder="1" applyAlignment="1">
      <alignment horizontal="center"/>
    </xf>
    <xf numFmtId="0" fontId="29" fillId="0" borderId="28" xfId="0" applyFont="1" applyBorder="1"/>
    <xf numFmtId="167" fontId="29" fillId="0" borderId="34" xfId="28" applyFont="1" applyBorder="1" applyAlignment="1">
      <alignment horizontal="center"/>
    </xf>
    <xf numFmtId="0" fontId="29" fillId="0" borderId="34" xfId="0" applyFont="1" applyBorder="1" applyAlignment="1">
      <alignment horizontal="center"/>
    </xf>
    <xf numFmtId="0" fontId="26" fillId="0" borderId="15" xfId="0" applyFont="1" applyBorder="1" applyAlignment="1">
      <alignment horizontal="center"/>
    </xf>
    <xf numFmtId="0" fontId="28" fillId="0" borderId="15" xfId="0" applyFont="1" applyBorder="1"/>
    <xf numFmtId="43" fontId="29" fillId="0" borderId="15" xfId="28" applyNumberFormat="1" applyFont="1" applyBorder="1" applyAlignment="1">
      <alignment horizontal="right"/>
    </xf>
    <xf numFmtId="167" fontId="29" fillId="0" borderId="15" xfId="0" applyNumberFormat="1" applyFont="1" applyBorder="1"/>
    <xf numFmtId="0" fontId="29" fillId="0" borderId="15" xfId="0" applyFont="1" applyBorder="1" applyAlignment="1">
      <alignment horizontal="right"/>
    </xf>
    <xf numFmtId="43" fontId="29" fillId="0" borderId="15" xfId="28" applyNumberFormat="1" applyFont="1" applyBorder="1" applyAlignment="1">
      <alignment horizontal="center"/>
    </xf>
    <xf numFmtId="178" fontId="29" fillId="0" borderId="15" xfId="28" applyNumberFormat="1" applyFont="1" applyBorder="1" applyAlignment="1">
      <alignment horizontal="right"/>
    </xf>
    <xf numFmtId="0" fontId="29" fillId="0" borderId="31" xfId="0" applyFont="1" applyBorder="1" applyAlignment="1">
      <alignment horizontal="right"/>
    </xf>
    <xf numFmtId="43" fontId="29" fillId="0" borderId="28" xfId="28" applyNumberFormat="1" applyFont="1" applyBorder="1" applyAlignment="1">
      <alignment horizontal="right"/>
    </xf>
    <xf numFmtId="167" fontId="29" fillId="0" borderId="28" xfId="28" applyFont="1" applyBorder="1" applyAlignment="1">
      <alignment horizontal="left"/>
    </xf>
    <xf numFmtId="0" fontId="29" fillId="0" borderId="33" xfId="0" applyFont="1" applyBorder="1"/>
    <xf numFmtId="0" fontId="29" fillId="0" borderId="34" xfId="0" applyFont="1" applyBorder="1" applyAlignment="1"/>
    <xf numFmtId="167" fontId="30" fillId="0" borderId="12" xfId="0" applyNumberFormat="1" applyFont="1" applyBorder="1"/>
    <xf numFmtId="167" fontId="31" fillId="0" borderId="31" xfId="28" applyFont="1" applyBorder="1" applyAlignment="1">
      <alignment vertical="center"/>
    </xf>
    <xf numFmtId="167" fontId="31" fillId="0" borderId="28" xfId="28" applyFont="1" applyBorder="1" applyAlignment="1">
      <alignment vertical="center"/>
    </xf>
    <xf numFmtId="167" fontId="31" fillId="0" borderId="32" xfId="28" applyFont="1" applyBorder="1" applyAlignment="1">
      <alignment vertical="center"/>
    </xf>
    <xf numFmtId="167" fontId="31" fillId="0" borderId="33" xfId="28" applyFont="1" applyBorder="1" applyAlignment="1">
      <alignment vertical="center"/>
    </xf>
    <xf numFmtId="167" fontId="32" fillId="0" borderId="34" xfId="28" applyFont="1" applyBorder="1" applyAlignment="1">
      <alignment horizontal="center" vertical="center"/>
    </xf>
    <xf numFmtId="167" fontId="31" fillId="0" borderId="34" xfId="28" applyFont="1" applyBorder="1" applyAlignment="1">
      <alignment vertical="center"/>
    </xf>
    <xf numFmtId="167" fontId="31" fillId="0" borderId="35" xfId="28" applyFont="1" applyBorder="1" applyAlignment="1">
      <alignment vertical="center"/>
    </xf>
    <xf numFmtId="0" fontId="29" fillId="0" borderId="12" xfId="0" applyFont="1" applyBorder="1"/>
    <xf numFmtId="167" fontId="26" fillId="0" borderId="12" xfId="0" applyNumberFormat="1" applyFont="1" applyBorder="1"/>
    <xf numFmtId="167" fontId="30" fillId="0" borderId="0" xfId="28" applyFont="1"/>
    <xf numFmtId="167" fontId="82" fillId="0" borderId="15" xfId="28" applyNumberFormat="1" applyFont="1" applyBorder="1" applyAlignment="1">
      <alignment horizontal="left" vertical="center"/>
    </xf>
    <xf numFmtId="167" fontId="26" fillId="0" borderId="15" xfId="0" applyNumberFormat="1" applyFont="1" applyBorder="1"/>
    <xf numFmtId="167" fontId="29" fillId="0" borderId="28" xfId="28" applyFont="1" applyBorder="1" applyAlignment="1">
      <alignment horizontal="right"/>
    </xf>
    <xf numFmtId="167" fontId="29" fillId="0" borderId="34" xfId="28" applyFont="1" applyBorder="1" applyAlignment="1">
      <alignment horizontal="right"/>
    </xf>
    <xf numFmtId="43" fontId="26" fillId="0" borderId="29" xfId="28" applyNumberFormat="1" applyFont="1" applyBorder="1" applyAlignment="1">
      <alignment horizontal="right"/>
    </xf>
    <xf numFmtId="0" fontId="29" fillId="0" borderId="12" xfId="0" applyFont="1" applyBorder="1" applyAlignment="1"/>
    <xf numFmtId="167" fontId="29" fillId="0" borderId="12" xfId="28" applyFont="1" applyBorder="1" applyAlignment="1">
      <alignment horizontal="center"/>
    </xf>
    <xf numFmtId="0" fontId="29" fillId="0" borderId="12" xfId="0" applyFont="1" applyBorder="1" applyAlignment="1">
      <alignment horizontal="center"/>
    </xf>
    <xf numFmtId="167" fontId="29" fillId="0" borderId="12" xfId="28" applyNumberFormat="1" applyFont="1" applyBorder="1"/>
    <xf numFmtId="167" fontId="26" fillId="0" borderId="12" xfId="28" applyNumberFormat="1" applyFont="1" applyBorder="1"/>
    <xf numFmtId="167" fontId="29" fillId="0" borderId="0" xfId="28" applyFont="1" applyBorder="1" applyAlignment="1">
      <alignment horizontal="right"/>
    </xf>
    <xf numFmtId="0" fontId="29" fillId="0" borderId="39" xfId="0" applyFont="1" applyBorder="1"/>
    <xf numFmtId="0" fontId="29" fillId="0" borderId="0" xfId="0" applyFont="1" applyBorder="1" applyAlignment="1"/>
    <xf numFmtId="167" fontId="29" fillId="0" borderId="0" xfId="28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67" fontId="30" fillId="0" borderId="15" xfId="0" applyNumberFormat="1" applyFont="1" applyBorder="1"/>
    <xf numFmtId="167" fontId="29" fillId="0" borderId="15" xfId="28" applyFont="1" applyBorder="1"/>
    <xf numFmtId="167" fontId="26" fillId="0" borderId="12" xfId="28" applyFont="1" applyBorder="1"/>
    <xf numFmtId="167" fontId="26" fillId="0" borderId="15" xfId="28" applyFont="1" applyBorder="1"/>
    <xf numFmtId="0" fontId="26" fillId="0" borderId="29" xfId="0" applyFont="1" applyBorder="1"/>
    <xf numFmtId="0" fontId="26" fillId="0" borderId="12" xfId="0" applyFont="1" applyBorder="1"/>
    <xf numFmtId="0" fontId="33" fillId="0" borderId="0" xfId="0" applyFont="1" applyAlignment="1"/>
    <xf numFmtId="167" fontId="82" fillId="0" borderId="15" xfId="28" applyNumberFormat="1" applyFont="1" applyBorder="1" applyAlignment="1">
      <alignment horizontal="center" vertical="center"/>
    </xf>
    <xf numFmtId="0" fontId="63" fillId="0" borderId="0" xfId="0" applyFont="1"/>
    <xf numFmtId="0" fontId="63" fillId="0" borderId="0" xfId="0" quotePrefix="1" applyFont="1"/>
    <xf numFmtId="38" fontId="71" fillId="0" borderId="0" xfId="0" applyNumberFormat="1" applyFont="1" applyFill="1" applyAlignment="1"/>
    <xf numFmtId="38" fontId="63" fillId="0" borderId="0" xfId="0" applyNumberFormat="1" applyFont="1" applyFill="1" applyAlignment="1"/>
    <xf numFmtId="0" fontId="63" fillId="0" borderId="0" xfId="0" applyFont="1" applyAlignment="1">
      <alignment horizontal="right"/>
    </xf>
    <xf numFmtId="14" fontId="63" fillId="0" borderId="15" xfId="0" quotePrefix="1" applyNumberFormat="1" applyFont="1" applyBorder="1" applyAlignment="1">
      <alignment horizontal="center"/>
    </xf>
    <xf numFmtId="0" fontId="63" fillId="0" borderId="15" xfId="0" applyFont="1" applyBorder="1"/>
    <xf numFmtId="0" fontId="63" fillId="0" borderId="36" xfId="0" quotePrefix="1" applyFont="1" applyBorder="1"/>
    <xf numFmtId="0" fontId="41" fillId="0" borderId="61" xfId="0" applyFont="1" applyBorder="1"/>
    <xf numFmtId="0" fontId="41" fillId="0" borderId="36" xfId="0" applyFont="1" applyBorder="1" applyAlignment="1">
      <alignment horizontal="center"/>
    </xf>
    <xf numFmtId="0" fontId="41" fillId="0" borderId="29" xfId="0" applyFont="1" applyBorder="1" applyAlignment="1">
      <alignment horizontal="center"/>
    </xf>
    <xf numFmtId="0" fontId="41" fillId="0" borderId="37" xfId="0" applyFont="1" applyBorder="1" applyAlignment="1">
      <alignment horizontal="center"/>
    </xf>
    <xf numFmtId="0" fontId="41" fillId="0" borderId="37" xfId="0" applyFont="1" applyBorder="1"/>
    <xf numFmtId="0" fontId="0" fillId="0" borderId="61" xfId="0" applyFont="1" applyFill="1" applyBorder="1" applyAlignment="1"/>
    <xf numFmtId="0" fontId="0" fillId="0" borderId="36" xfId="0" applyFont="1" applyFill="1" applyBorder="1" applyAlignment="1"/>
    <xf numFmtId="0" fontId="63" fillId="0" borderId="36" xfId="0" applyFont="1" applyFill="1" applyBorder="1" applyAlignment="1">
      <alignment horizontal="center"/>
    </xf>
    <xf numFmtId="0" fontId="63" fillId="0" borderId="67" xfId="0" applyFont="1" applyFill="1" applyBorder="1" applyAlignment="1">
      <alignment horizontal="center"/>
    </xf>
    <xf numFmtId="0" fontId="0" fillId="0" borderId="37" xfId="0" applyFont="1" applyFill="1" applyBorder="1" applyAlignment="1"/>
    <xf numFmtId="0" fontId="63" fillId="0" borderId="29" xfId="0" quotePrefix="1" applyFont="1" applyBorder="1"/>
    <xf numFmtId="0" fontId="0" fillId="0" borderId="12" xfId="0" quotePrefix="1" applyBorder="1"/>
    <xf numFmtId="0" fontId="63" fillId="0" borderId="12" xfId="0" applyFont="1" applyBorder="1"/>
    <xf numFmtId="0" fontId="63" fillId="0" borderId="15" xfId="0" quotePrefix="1" applyFont="1" applyBorder="1"/>
    <xf numFmtId="0" fontId="63" fillId="0" borderId="12" xfId="0" quotePrefix="1" applyFont="1" applyBorder="1"/>
    <xf numFmtId="0" fontId="41" fillId="0" borderId="12" xfId="0" applyFont="1" applyBorder="1" applyAlignment="1">
      <alignment horizontal="center"/>
    </xf>
    <xf numFmtId="0" fontId="41" fillId="0" borderId="15" xfId="0" applyFont="1" applyBorder="1" applyAlignment="1">
      <alignment horizontal="center"/>
    </xf>
    <xf numFmtId="0" fontId="0" fillId="0" borderId="29" xfId="0" applyFont="1" applyFill="1" applyBorder="1" applyAlignment="1"/>
    <xf numFmtId="0" fontId="0" fillId="0" borderId="12" xfId="0" applyFont="1" applyFill="1" applyBorder="1" applyAlignment="1"/>
    <xf numFmtId="0" fontId="13" fillId="0" borderId="12" xfId="0" applyFont="1" applyFill="1" applyBorder="1" applyAlignment="1">
      <alignment horizontal="center"/>
    </xf>
    <xf numFmtId="0" fontId="13" fillId="0" borderId="13" xfId="0" applyFont="1" applyFill="1" applyBorder="1" applyAlignment="1">
      <alignment horizontal="center"/>
    </xf>
    <xf numFmtId="0" fontId="19" fillId="0" borderId="29" xfId="0" applyFont="1" applyBorder="1"/>
    <xf numFmtId="0" fontId="19" fillId="0" borderId="15" xfId="0" applyFont="1" applyBorder="1"/>
    <xf numFmtId="0" fontId="19" fillId="0" borderId="37" xfId="0" applyFont="1" applyBorder="1" applyAlignment="1">
      <alignment horizontal="center" vertical="center"/>
    </xf>
    <xf numFmtId="0" fontId="113" fillId="0" borderId="36" xfId="0" applyFont="1" applyBorder="1" applyAlignment="1">
      <alignment horizontal="center"/>
    </xf>
    <xf numFmtId="38" fontId="19" fillId="0" borderId="0" xfId="0" applyNumberFormat="1" applyFont="1" applyFill="1" applyAlignment="1">
      <alignment horizontal="left"/>
    </xf>
    <xf numFmtId="38" fontId="19" fillId="0" borderId="22" xfId="0" applyNumberFormat="1" applyFont="1" applyFill="1" applyBorder="1" applyAlignment="1">
      <alignment horizontal="left"/>
    </xf>
    <xf numFmtId="38" fontId="63" fillId="0" borderId="0" xfId="0" applyNumberFormat="1" applyFont="1" applyFill="1" applyAlignment="1">
      <alignment horizontal="left"/>
    </xf>
    <xf numFmtId="0" fontId="83" fillId="0" borderId="10" xfId="0" applyFont="1" applyBorder="1" applyAlignment="1">
      <alignment horizontal="center"/>
    </xf>
    <xf numFmtId="0" fontId="83" fillId="0" borderId="11" xfId="0" applyFont="1" applyBorder="1" applyAlignment="1">
      <alignment horizontal="center"/>
    </xf>
    <xf numFmtId="0" fontId="83" fillId="0" borderId="69" xfId="0" applyFont="1" applyBorder="1" applyAlignment="1">
      <alignment horizontal="center" vertical="center"/>
    </xf>
    <xf numFmtId="0" fontId="83" fillId="0" borderId="12" xfId="0" applyFont="1" applyBorder="1" applyAlignment="1">
      <alignment horizontal="center" vertical="center"/>
    </xf>
    <xf numFmtId="0" fontId="83" fillId="0" borderId="13" xfId="0" applyFont="1" applyBorder="1" applyAlignment="1">
      <alignment horizontal="center" vertical="center"/>
    </xf>
    <xf numFmtId="0" fontId="83" fillId="0" borderId="14" xfId="0" applyFont="1" applyBorder="1" applyAlignment="1">
      <alignment horizontal="center" vertical="center"/>
    </xf>
    <xf numFmtId="0" fontId="84" fillId="0" borderId="15" xfId="0" applyFont="1" applyBorder="1" applyAlignment="1">
      <alignment vertical="center"/>
    </xf>
    <xf numFmtId="167" fontId="85" fillId="0" borderId="15" xfId="28" applyFont="1" applyBorder="1" applyAlignment="1">
      <alignment horizontal="center" vertical="center"/>
    </xf>
    <xf numFmtId="0" fontId="85" fillId="0" borderId="15" xfId="0" applyFont="1" applyBorder="1" applyAlignment="1">
      <alignment horizontal="center" vertical="center"/>
    </xf>
    <xf numFmtId="0" fontId="85" fillId="0" borderId="15" xfId="0" applyFont="1" applyBorder="1" applyAlignment="1">
      <alignment vertical="center"/>
    </xf>
    <xf numFmtId="43" fontId="85" fillId="0" borderId="15" xfId="28" applyNumberFormat="1" applyFont="1" applyBorder="1" applyAlignment="1">
      <alignment horizontal="right" vertical="center"/>
    </xf>
    <xf numFmtId="167" fontId="85" fillId="0" borderId="16" xfId="0" applyNumberFormat="1" applyFont="1" applyBorder="1" applyAlignment="1">
      <alignment vertical="center"/>
    </xf>
    <xf numFmtId="0" fontId="85" fillId="0" borderId="15" xfId="0" quotePrefix="1" applyFont="1" applyBorder="1" applyAlignment="1">
      <alignment vertical="center"/>
    </xf>
    <xf numFmtId="2" fontId="85" fillId="0" borderId="15" xfId="28" applyNumberFormat="1" applyFont="1" applyBorder="1" applyAlignment="1">
      <alignment horizontal="center" vertical="center"/>
    </xf>
    <xf numFmtId="43" fontId="85" fillId="0" borderId="15" xfId="28" applyNumberFormat="1" applyFont="1" applyBorder="1" applyAlignment="1">
      <alignment horizontal="center" vertical="center"/>
    </xf>
    <xf numFmtId="4" fontId="85" fillId="0" borderId="15" xfId="0" applyNumberFormat="1" applyFont="1" applyBorder="1" applyAlignment="1">
      <alignment horizontal="right" vertical="center"/>
    </xf>
    <xf numFmtId="4" fontId="85" fillId="0" borderId="15" xfId="28" applyNumberFormat="1" applyFont="1" applyBorder="1" applyAlignment="1">
      <alignment horizontal="right" vertical="center"/>
    </xf>
    <xf numFmtId="4" fontId="85" fillId="0" borderId="16" xfId="0" applyNumberFormat="1" applyFont="1" applyBorder="1" applyAlignment="1">
      <alignment vertical="center"/>
    </xf>
    <xf numFmtId="0" fontId="85" fillId="0" borderId="14" xfId="0" applyFont="1" applyBorder="1" applyAlignment="1">
      <alignment horizontal="right" vertical="center"/>
    </xf>
    <xf numFmtId="167" fontId="83" fillId="0" borderId="16" xfId="0" applyNumberFormat="1" applyFont="1" applyBorder="1" applyAlignment="1">
      <alignment vertical="center"/>
    </xf>
    <xf numFmtId="0" fontId="85" fillId="0" borderId="69" xfId="0" applyFont="1" applyBorder="1" applyAlignment="1">
      <alignment horizontal="right" vertical="center"/>
    </xf>
    <xf numFmtId="0" fontId="85" fillId="0" borderId="12" xfId="0" applyFont="1" applyBorder="1" applyAlignment="1">
      <alignment vertical="center"/>
    </xf>
    <xf numFmtId="2" fontId="85" fillId="0" borderId="12" xfId="28" applyNumberFormat="1" applyFont="1" applyBorder="1" applyAlignment="1">
      <alignment horizontal="center" vertical="center"/>
    </xf>
    <xf numFmtId="43" fontId="85" fillId="0" borderId="12" xfId="28" applyNumberFormat="1" applyFont="1" applyBorder="1" applyAlignment="1">
      <alignment horizontal="center" vertical="center"/>
    </xf>
    <xf numFmtId="0" fontId="85" fillId="0" borderId="12" xfId="0" applyFont="1" applyBorder="1" applyAlignment="1">
      <alignment horizontal="center" vertical="center"/>
    </xf>
    <xf numFmtId="167" fontId="85" fillId="0" borderId="12" xfId="0" applyNumberFormat="1" applyFont="1" applyBorder="1" applyAlignment="1">
      <alignment vertical="center"/>
    </xf>
    <xf numFmtId="43" fontId="85" fillId="0" borderId="12" xfId="28" applyNumberFormat="1" applyFont="1" applyBorder="1" applyAlignment="1">
      <alignment horizontal="right" vertical="center"/>
    </xf>
    <xf numFmtId="167" fontId="83" fillId="0" borderId="13" xfId="0" applyNumberFormat="1" applyFont="1" applyBorder="1" applyAlignment="1">
      <alignment vertical="center"/>
    </xf>
    <xf numFmtId="167" fontId="85" fillId="0" borderId="15" xfId="0" applyNumberFormat="1" applyFont="1" applyBorder="1" applyAlignment="1">
      <alignment vertical="center"/>
    </xf>
    <xf numFmtId="4" fontId="85" fillId="0" borderId="15" xfId="0" applyNumberFormat="1" applyFont="1" applyBorder="1" applyAlignment="1">
      <alignment vertical="center"/>
    </xf>
    <xf numFmtId="4" fontId="85" fillId="0" borderId="12" xfId="0" applyNumberFormat="1" applyFont="1" applyBorder="1" applyAlignment="1">
      <alignment vertical="center"/>
    </xf>
    <xf numFmtId="4" fontId="85" fillId="0" borderId="12" xfId="28" applyNumberFormat="1" applyFont="1" applyBorder="1" applyAlignment="1">
      <alignment horizontal="right" vertical="center"/>
    </xf>
    <xf numFmtId="0" fontId="83" fillId="0" borderId="19" xfId="0" applyFont="1" applyBorder="1" applyAlignment="1">
      <alignment horizontal="center" vertical="center"/>
    </xf>
    <xf numFmtId="0" fontId="85" fillId="0" borderId="0" xfId="0" applyFont="1" applyBorder="1" applyAlignment="1">
      <alignment vertical="center"/>
    </xf>
    <xf numFmtId="2" fontId="85" fillId="0" borderId="0" xfId="28" applyNumberFormat="1" applyFont="1" applyBorder="1" applyAlignment="1">
      <alignment horizontal="center" vertical="center"/>
    </xf>
    <xf numFmtId="0" fontId="85" fillId="0" borderId="0" xfId="0" applyFont="1" applyBorder="1" applyAlignment="1">
      <alignment horizontal="center" vertical="center"/>
    </xf>
    <xf numFmtId="167" fontId="85" fillId="0" borderId="0" xfId="28" applyFont="1" applyBorder="1" applyAlignment="1">
      <alignment horizontal="right" vertical="center"/>
    </xf>
    <xf numFmtId="167" fontId="85" fillId="0" borderId="40" xfId="28" applyFont="1" applyBorder="1" applyAlignment="1">
      <alignment horizontal="right" vertical="center"/>
    </xf>
    <xf numFmtId="0" fontId="83" fillId="0" borderId="70" xfId="0" applyFont="1" applyBorder="1" applyAlignment="1">
      <alignment horizontal="center" vertical="center"/>
    </xf>
    <xf numFmtId="0" fontId="85" fillId="0" borderId="34" xfId="0" quotePrefix="1" applyFont="1" applyBorder="1" applyAlignment="1">
      <alignment vertical="center"/>
    </xf>
    <xf numFmtId="2" fontId="85" fillId="0" borderId="34" xfId="28" applyNumberFormat="1" applyFont="1" applyBorder="1" applyAlignment="1">
      <alignment horizontal="center" vertical="center"/>
    </xf>
    <xf numFmtId="0" fontId="85" fillId="0" borderId="34" xfId="0" applyFont="1" applyBorder="1" applyAlignment="1">
      <alignment horizontal="center" vertical="center"/>
    </xf>
    <xf numFmtId="167" fontId="85" fillId="0" borderId="34" xfId="0" applyNumberFormat="1" applyFont="1" applyBorder="1" applyAlignment="1">
      <alignment vertical="center"/>
    </xf>
    <xf numFmtId="0" fontId="85" fillId="0" borderId="0" xfId="0" quotePrefix="1" applyFont="1" applyBorder="1" applyAlignment="1">
      <alignment vertical="center"/>
    </xf>
    <xf numFmtId="167" fontId="85" fillId="0" borderId="0" xfId="0" applyNumberFormat="1" applyFont="1" applyBorder="1" applyAlignment="1">
      <alignment vertical="center"/>
    </xf>
    <xf numFmtId="0" fontId="85" fillId="0" borderId="40" xfId="0" applyFont="1" applyBorder="1" applyAlignment="1">
      <alignment vertical="center"/>
    </xf>
    <xf numFmtId="0" fontId="85" fillId="0" borderId="17" xfId="0" applyFont="1" applyBorder="1" applyAlignment="1">
      <alignment horizontal="right" vertical="center"/>
    </xf>
    <xf numFmtId="0" fontId="85" fillId="0" borderId="18" xfId="0" applyFont="1" applyBorder="1" applyAlignment="1">
      <alignment vertical="center"/>
    </xf>
    <xf numFmtId="43" fontId="85" fillId="0" borderId="18" xfId="28" applyNumberFormat="1" applyFont="1" applyBorder="1" applyAlignment="1">
      <alignment horizontal="right" vertical="center"/>
    </xf>
    <xf numFmtId="167" fontId="85" fillId="0" borderId="18" xfId="28" applyFont="1" applyBorder="1" applyAlignment="1">
      <alignment horizontal="right" vertical="center"/>
    </xf>
    <xf numFmtId="0" fontId="85" fillId="0" borderId="10" xfId="0" applyFont="1" applyBorder="1" applyAlignment="1">
      <alignment vertical="center"/>
    </xf>
    <xf numFmtId="167" fontId="83" fillId="0" borderId="11" xfId="0" applyNumberFormat="1" applyFont="1" applyBorder="1" applyAlignment="1">
      <alignment vertical="center"/>
    </xf>
    <xf numFmtId="0" fontId="85" fillId="0" borderId="21" xfId="0" applyFont="1" applyBorder="1" applyAlignment="1">
      <alignment vertical="center"/>
    </xf>
    <xf numFmtId="0" fontId="85" fillId="0" borderId="22" xfId="0" applyFont="1" applyBorder="1" applyAlignment="1">
      <alignment vertical="center"/>
    </xf>
    <xf numFmtId="167" fontId="85" fillId="0" borderId="22" xfId="28" applyFont="1" applyBorder="1" applyAlignment="1">
      <alignment horizontal="center" vertical="center"/>
    </xf>
    <xf numFmtId="0" fontId="85" fillId="0" borderId="22" xfId="0" applyFont="1" applyBorder="1" applyAlignment="1">
      <alignment horizontal="center" vertical="center"/>
    </xf>
    <xf numFmtId="167" fontId="85" fillId="0" borderId="22" xfId="28" applyFont="1" applyBorder="1" applyAlignment="1">
      <alignment horizontal="right" vertical="center"/>
    </xf>
    <xf numFmtId="0" fontId="85" fillId="0" borderId="24" xfId="0" applyFont="1" applyBorder="1" applyAlignment="1">
      <alignment vertical="center"/>
    </xf>
    <xf numFmtId="167" fontId="83" fillId="0" borderId="25" xfId="0" applyNumberFormat="1" applyFont="1" applyBorder="1" applyAlignment="1">
      <alignment vertical="center"/>
    </xf>
    <xf numFmtId="0" fontId="85" fillId="0" borderId="0" xfId="0" applyFont="1" applyBorder="1"/>
    <xf numFmtId="167" fontId="83" fillId="0" borderId="0" xfId="0" applyNumberFormat="1" applyFont="1" applyBorder="1"/>
    <xf numFmtId="0" fontId="83" fillId="0" borderId="0" xfId="0" applyFont="1" applyBorder="1"/>
    <xf numFmtId="0" fontId="83" fillId="0" borderId="0" xfId="0" applyFont="1"/>
    <xf numFmtId="0" fontId="85" fillId="0" borderId="0" xfId="0" applyFont="1"/>
    <xf numFmtId="0" fontId="0" fillId="0" borderId="0" xfId="0" applyBorder="1" applyAlignment="1">
      <alignment horizontal="left"/>
    </xf>
    <xf numFmtId="38" fontId="0" fillId="0" borderId="0" xfId="0" applyNumberFormat="1" applyFont="1" applyFill="1" applyAlignment="1">
      <alignment horizontal="right"/>
    </xf>
    <xf numFmtId="38" fontId="63" fillId="0" borderId="0" xfId="0" applyNumberFormat="1" applyFont="1" applyFill="1" applyBorder="1" applyAlignment="1"/>
    <xf numFmtId="0" fontId="63" fillId="0" borderId="0" xfId="0" applyFont="1" applyAlignment="1">
      <alignment horizontal="left"/>
    </xf>
    <xf numFmtId="0" fontId="63" fillId="0" borderId="0" xfId="0" applyFont="1" applyAlignment="1"/>
    <xf numFmtId="0" fontId="19" fillId="0" borderId="0" xfId="0" applyFont="1" applyAlignment="1">
      <alignment horizontal="right"/>
    </xf>
    <xf numFmtId="0" fontId="63" fillId="0" borderId="22" xfId="0" applyFont="1" applyBorder="1"/>
    <xf numFmtId="38" fontId="71" fillId="0" borderId="22" xfId="0" applyNumberFormat="1" applyFont="1" applyFill="1" applyBorder="1" applyAlignment="1">
      <alignment horizontal="left"/>
    </xf>
    <xf numFmtId="38" fontId="72" fillId="0" borderId="22" xfId="0" applyNumberFormat="1" applyFont="1" applyFill="1" applyBorder="1" applyAlignment="1"/>
    <xf numFmtId="0" fontId="63" fillId="0" borderId="0" xfId="0" applyFont="1" applyBorder="1"/>
    <xf numFmtId="40" fontId="29" fillId="0" borderId="15" xfId="0" applyNumberFormat="1" applyFont="1" applyFill="1" applyBorder="1" applyAlignment="1">
      <alignment horizontal="center" vertical="center"/>
    </xf>
    <xf numFmtId="173" fontId="29" fillId="0" borderId="15" xfId="0" applyNumberFormat="1" applyFont="1" applyFill="1" applyBorder="1" applyAlignment="1">
      <alignment horizontal="center" vertical="center"/>
    </xf>
    <xf numFmtId="0" fontId="26" fillId="0" borderId="69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left" vertical="center"/>
    </xf>
    <xf numFmtId="169" fontId="29" fillId="0" borderId="12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/>
    </xf>
    <xf numFmtId="40" fontId="29" fillId="0" borderId="12" xfId="0" applyNumberFormat="1" applyFont="1" applyFill="1" applyBorder="1" applyAlignment="1">
      <alignment horizontal="right" vertical="center"/>
    </xf>
    <xf numFmtId="40" fontId="26" fillId="0" borderId="13" xfId="0" applyNumberFormat="1" applyFont="1" applyFill="1" applyBorder="1" applyAlignment="1">
      <alignment horizontal="right" vertical="center"/>
    </xf>
    <xf numFmtId="0" fontId="29" fillId="0" borderId="69" xfId="0" applyFont="1" applyFill="1" applyBorder="1" applyAlignment="1">
      <alignment horizontal="right" vertical="center"/>
    </xf>
    <xf numFmtId="0" fontId="29" fillId="0" borderId="12" xfId="0" applyFont="1" applyFill="1" applyBorder="1" applyAlignment="1">
      <alignment vertical="center"/>
    </xf>
    <xf numFmtId="2" fontId="29" fillId="0" borderId="12" xfId="28" applyNumberFormat="1" applyFont="1" applyFill="1" applyBorder="1" applyAlignment="1">
      <alignment horizontal="center" vertical="center"/>
    </xf>
    <xf numFmtId="167" fontId="29" fillId="0" borderId="12" xfId="0" applyNumberFormat="1" applyFont="1" applyFill="1" applyBorder="1" applyAlignment="1">
      <alignment vertical="center"/>
    </xf>
    <xf numFmtId="43" fontId="29" fillId="0" borderId="12" xfId="28" applyNumberFormat="1" applyFont="1" applyFill="1" applyBorder="1" applyAlignment="1">
      <alignment horizontal="right" vertical="center"/>
    </xf>
    <xf numFmtId="167" fontId="85" fillId="0" borderId="0" xfId="28" applyFont="1" applyBorder="1" applyAlignment="1">
      <alignment horizontal="center" vertical="center"/>
    </xf>
    <xf numFmtId="167" fontId="83" fillId="0" borderId="0" xfId="0" applyNumberFormat="1" applyFont="1" applyBorder="1" applyAlignment="1">
      <alignment vertical="center"/>
    </xf>
    <xf numFmtId="0" fontId="25" fillId="0" borderId="0" xfId="0" applyFont="1"/>
    <xf numFmtId="0" fontId="82" fillId="0" borderId="0" xfId="0" applyFont="1"/>
    <xf numFmtId="0" fontId="82" fillId="0" borderId="0" xfId="0" applyFont="1" applyAlignment="1">
      <alignment horizontal="center"/>
    </xf>
    <xf numFmtId="0" fontId="75" fillId="0" borderId="0" xfId="0" applyFont="1" applyAlignment="1"/>
    <xf numFmtId="178" fontId="29" fillId="0" borderId="15" xfId="28" applyNumberFormat="1" applyFont="1" applyBorder="1" applyAlignment="1">
      <alignment horizontal="center"/>
    </xf>
    <xf numFmtId="0" fontId="53" fillId="0" borderId="0" xfId="0" applyFont="1"/>
    <xf numFmtId="167" fontId="87" fillId="0" borderId="0" xfId="28" applyFont="1" applyAlignment="1">
      <alignment horizontal="left"/>
    </xf>
    <xf numFmtId="167" fontId="60" fillId="0" borderId="15" xfId="0" applyNumberFormat="1" applyFont="1" applyBorder="1"/>
    <xf numFmtId="0" fontId="88" fillId="0" borderId="0" xfId="0" applyFont="1"/>
    <xf numFmtId="38" fontId="19" fillId="0" borderId="0" xfId="0" applyNumberFormat="1" applyFont="1" applyFill="1" applyBorder="1" applyAlignment="1">
      <alignment horizontal="left"/>
    </xf>
    <xf numFmtId="38" fontId="71" fillId="0" borderId="0" xfId="0" applyNumberFormat="1" applyFont="1" applyFill="1" applyBorder="1" applyAlignment="1">
      <alignment horizontal="left"/>
    </xf>
    <xf numFmtId="38" fontId="72" fillId="0" borderId="0" xfId="0" applyNumberFormat="1" applyFont="1" applyFill="1" applyBorder="1" applyAlignment="1"/>
    <xf numFmtId="0" fontId="29" fillId="0" borderId="15" xfId="0" quotePrefix="1" applyFont="1" applyBorder="1"/>
    <xf numFmtId="167" fontId="26" fillId="0" borderId="15" xfId="0" applyNumberFormat="1" applyFont="1" applyBorder="1" applyAlignment="1"/>
    <xf numFmtId="167" fontId="29" fillId="0" borderId="15" xfId="0" applyNumberFormat="1" applyFont="1" applyBorder="1" applyAlignment="1"/>
    <xf numFmtId="0" fontId="63" fillId="0" borderId="0" xfId="0" applyFont="1" applyFill="1" applyBorder="1"/>
    <xf numFmtId="0" fontId="19" fillId="0" borderId="36" xfId="0" applyFont="1" applyBorder="1"/>
    <xf numFmtId="0" fontId="0" fillId="0" borderId="19" xfId="0" applyBorder="1"/>
    <xf numFmtId="0" fontId="0" fillId="0" borderId="19" xfId="0" applyBorder="1" applyAlignment="1">
      <alignment horizontal="center"/>
    </xf>
    <xf numFmtId="0" fontId="63" fillId="0" borderId="37" xfId="0" applyFont="1" applyBorder="1" applyAlignment="1">
      <alignment horizontal="center" vertical="center" wrapText="1"/>
    </xf>
    <xf numFmtId="0" fontId="63" fillId="0" borderId="62" xfId="0" quotePrefix="1" applyFont="1" applyBorder="1"/>
    <xf numFmtId="0" fontId="63" fillId="0" borderId="15" xfId="0" applyFont="1" applyBorder="1" applyAlignment="1">
      <alignment vertical="center"/>
    </xf>
    <xf numFmtId="0" fontId="0" fillId="0" borderId="31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5" xfId="0" applyBorder="1" applyAlignment="1">
      <alignment horizontal="center"/>
    </xf>
    <xf numFmtId="0" fontId="63" fillId="0" borderId="36" xfId="0" applyFont="1" applyBorder="1" applyAlignment="1">
      <alignment horizontal="center"/>
    </xf>
    <xf numFmtId="167" fontId="26" fillId="0" borderId="15" xfId="0" applyNumberFormat="1" applyFont="1" applyBorder="1" applyAlignment="1">
      <alignment horizontal="center"/>
    </xf>
    <xf numFmtId="3" fontId="0" fillId="0" borderId="0" xfId="0" applyNumberFormat="1" applyAlignment="1">
      <alignment horizontal="left"/>
    </xf>
    <xf numFmtId="3" fontId="29" fillId="0" borderId="15" xfId="29" applyNumberFormat="1" applyFont="1" applyBorder="1" applyAlignment="1">
      <alignment horizontal="center"/>
    </xf>
    <xf numFmtId="165" fontId="29" fillId="0" borderId="15" xfId="29" applyFont="1" applyBorder="1" applyAlignment="1">
      <alignment horizontal="right"/>
    </xf>
    <xf numFmtId="165" fontId="29" fillId="0" borderId="15" xfId="29" applyFont="1" applyBorder="1" applyAlignment="1"/>
    <xf numFmtId="165" fontId="26" fillId="0" borderId="15" xfId="29" applyFont="1" applyBorder="1" applyAlignment="1"/>
    <xf numFmtId="165" fontId="29" fillId="0" borderId="12" xfId="29" applyFont="1" applyBorder="1"/>
    <xf numFmtId="165" fontId="29" fillId="0" borderId="15" xfId="29" applyFont="1" applyBorder="1"/>
    <xf numFmtId="3" fontId="29" fillId="0" borderId="15" xfId="28" applyNumberFormat="1" applyFont="1" applyBorder="1" applyAlignment="1">
      <alignment horizontal="center"/>
    </xf>
    <xf numFmtId="3" fontId="63" fillId="0" borderId="0" xfId="0" applyNumberFormat="1" applyFont="1" applyAlignment="1">
      <alignment horizontal="left"/>
    </xf>
    <xf numFmtId="0" fontId="63" fillId="0" borderId="62" xfId="0" quotePrefix="1" applyFont="1" applyBorder="1" applyAlignment="1">
      <alignment vertical="center" wrapText="1"/>
    </xf>
    <xf numFmtId="2" fontId="29" fillId="0" borderId="15" xfId="28" applyNumberFormat="1" applyFont="1" applyBorder="1" applyAlignment="1">
      <alignment horizontal="center"/>
    </xf>
    <xf numFmtId="165" fontId="29" fillId="0" borderId="15" xfId="29" applyFont="1" applyBorder="1" applyAlignment="1">
      <alignment horizontal="center"/>
    </xf>
    <xf numFmtId="167" fontId="29" fillId="0" borderId="15" xfId="0" applyNumberFormat="1" applyFont="1" applyBorder="1" applyAlignment="1">
      <alignment horizontal="center"/>
    </xf>
    <xf numFmtId="167" fontId="63" fillId="0" borderId="0" xfId="28" applyFont="1"/>
    <xf numFmtId="0" fontId="25" fillId="0" borderId="29" xfId="0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86" fillId="0" borderId="29" xfId="0" applyFont="1" applyBorder="1"/>
    <xf numFmtId="167" fontId="82" fillId="0" borderId="29" xfId="28" applyFont="1" applyBorder="1"/>
    <xf numFmtId="0" fontId="82" fillId="0" borderId="29" xfId="0" applyFont="1" applyBorder="1"/>
    <xf numFmtId="167" fontId="25" fillId="0" borderId="29" xfId="0" applyNumberFormat="1" applyFont="1" applyBorder="1"/>
    <xf numFmtId="167" fontId="82" fillId="0" borderId="15" xfId="0" applyNumberFormat="1" applyFont="1" applyBorder="1"/>
    <xf numFmtId="0" fontId="25" fillId="0" borderId="15" xfId="0" applyFont="1" applyBorder="1" applyAlignment="1">
      <alignment horizontal="center"/>
    </xf>
    <xf numFmtId="0" fontId="82" fillId="0" borderId="15" xfId="0" quotePrefix="1" applyFont="1" applyBorder="1"/>
    <xf numFmtId="177" fontId="82" fillId="0" borderId="15" xfId="28" applyNumberFormat="1" applyFont="1" applyBorder="1" applyAlignment="1">
      <alignment horizontal="center"/>
    </xf>
    <xf numFmtId="0" fontId="82" fillId="0" borderId="15" xfId="0" applyFont="1" applyBorder="1" applyAlignment="1">
      <alignment horizontal="center"/>
    </xf>
    <xf numFmtId="43" fontId="82" fillId="0" borderId="15" xfId="28" applyNumberFormat="1" applyFont="1" applyBorder="1" applyAlignment="1">
      <alignment horizontal="center"/>
    </xf>
    <xf numFmtId="0" fontId="82" fillId="0" borderId="12" xfId="0" applyFont="1" applyBorder="1" applyAlignment="1"/>
    <xf numFmtId="0" fontId="82" fillId="0" borderId="12" xfId="0" applyFont="1" applyBorder="1"/>
    <xf numFmtId="167" fontId="82" fillId="0" borderId="12" xfId="28" applyFont="1" applyBorder="1" applyAlignment="1">
      <alignment horizontal="center"/>
    </xf>
    <xf numFmtId="0" fontId="82" fillId="0" borderId="12" xfId="0" applyFont="1" applyBorder="1" applyAlignment="1">
      <alignment horizontal="center"/>
    </xf>
    <xf numFmtId="167" fontId="82" fillId="0" borderId="12" xfId="28" applyNumberFormat="1" applyFont="1" applyBorder="1"/>
    <xf numFmtId="167" fontId="25" fillId="0" borderId="15" xfId="0" applyNumberFormat="1" applyFont="1" applyBorder="1"/>
    <xf numFmtId="0" fontId="86" fillId="0" borderId="15" xfId="0" applyFont="1" applyBorder="1"/>
    <xf numFmtId="167" fontId="82" fillId="0" borderId="15" xfId="28" applyFont="1" applyBorder="1" applyAlignment="1">
      <alignment horizontal="center"/>
    </xf>
    <xf numFmtId="0" fontId="82" fillId="0" borderId="15" xfId="0" applyFont="1" applyBorder="1"/>
    <xf numFmtId="43" fontId="82" fillId="0" borderId="15" xfId="28" applyNumberFormat="1" applyFont="1" applyBorder="1" applyAlignment="1">
      <alignment horizontal="right"/>
    </xf>
    <xf numFmtId="0" fontId="82" fillId="0" borderId="15" xfId="0" applyFont="1" applyBorder="1" applyAlignment="1">
      <alignment horizontal="right"/>
    </xf>
    <xf numFmtId="0" fontId="82" fillId="0" borderId="15" xfId="0" applyFont="1" applyBorder="1" applyAlignment="1"/>
    <xf numFmtId="0" fontId="82" fillId="0" borderId="31" xfId="0" applyFont="1" applyBorder="1" applyAlignment="1">
      <alignment horizontal="right"/>
    </xf>
    <xf numFmtId="0" fontId="82" fillId="0" borderId="28" xfId="0" applyFont="1" applyBorder="1"/>
    <xf numFmtId="43" fontId="82" fillId="0" borderId="28" xfId="28" applyNumberFormat="1" applyFont="1" applyBorder="1" applyAlignment="1">
      <alignment horizontal="right"/>
    </xf>
    <xf numFmtId="167" fontId="82" fillId="0" borderId="28" xfId="28" applyFont="1" applyBorder="1" applyAlignment="1">
      <alignment horizontal="left"/>
    </xf>
    <xf numFmtId="167" fontId="82" fillId="0" borderId="28" xfId="28" applyFont="1" applyBorder="1" applyAlignment="1">
      <alignment horizontal="right"/>
    </xf>
    <xf numFmtId="43" fontId="25" fillId="0" borderId="29" xfId="28" applyNumberFormat="1" applyFont="1" applyBorder="1" applyAlignment="1">
      <alignment horizontal="right"/>
    </xf>
    <xf numFmtId="0" fontId="82" fillId="0" borderId="39" xfId="0" applyFont="1" applyBorder="1"/>
    <xf numFmtId="0" fontId="82" fillId="0" borderId="0" xfId="0" applyFont="1" applyBorder="1" applyAlignment="1"/>
    <xf numFmtId="167" fontId="82" fillId="0" borderId="0" xfId="28" applyFont="1" applyBorder="1" applyAlignment="1">
      <alignment horizontal="center"/>
    </xf>
    <xf numFmtId="0" fontId="82" fillId="0" borderId="0" xfId="0" applyFont="1" applyBorder="1" applyAlignment="1">
      <alignment horizontal="center"/>
    </xf>
    <xf numFmtId="167" fontId="82" fillId="0" borderId="0" xfId="28" applyFont="1" applyBorder="1" applyAlignment="1">
      <alignment horizontal="right"/>
    </xf>
    <xf numFmtId="167" fontId="59" fillId="0" borderId="15" xfId="0" applyNumberFormat="1" applyFont="1" applyBorder="1"/>
    <xf numFmtId="167" fontId="82" fillId="0" borderId="15" xfId="28" applyFont="1" applyBorder="1"/>
    <xf numFmtId="0" fontId="82" fillId="0" borderId="33" xfId="0" applyFont="1" applyBorder="1"/>
    <xf numFmtId="0" fontId="82" fillId="0" borderId="34" xfId="0" applyFont="1" applyBorder="1" applyAlignment="1"/>
    <xf numFmtId="167" fontId="82" fillId="0" borderId="34" xfId="28" applyFont="1" applyBorder="1" applyAlignment="1">
      <alignment horizontal="center"/>
    </xf>
    <xf numFmtId="0" fontId="82" fillId="0" borderId="34" xfId="0" applyFont="1" applyBorder="1" applyAlignment="1">
      <alignment horizontal="center"/>
    </xf>
    <xf numFmtId="167" fontId="82" fillId="0" borderId="34" xfId="28" applyFont="1" applyBorder="1" applyAlignment="1">
      <alignment horizontal="right"/>
    </xf>
    <xf numFmtId="167" fontId="90" fillId="0" borderId="12" xfId="0" applyNumberFormat="1" applyFont="1" applyBorder="1"/>
    <xf numFmtId="167" fontId="25" fillId="0" borderId="12" xfId="28" applyFont="1" applyBorder="1"/>
    <xf numFmtId="167" fontId="90" fillId="0" borderId="15" xfId="0" applyNumberFormat="1" applyFont="1" applyBorder="1"/>
    <xf numFmtId="167" fontId="25" fillId="0" borderId="15" xfId="28" applyFont="1" applyBorder="1"/>
    <xf numFmtId="167" fontId="91" fillId="0" borderId="31" xfId="28" applyFont="1" applyBorder="1" applyAlignment="1">
      <alignment vertical="center"/>
    </xf>
    <xf numFmtId="167" fontId="91" fillId="0" borderId="28" xfId="28" applyFont="1" applyBorder="1" applyAlignment="1">
      <alignment vertical="center"/>
    </xf>
    <xf numFmtId="167" fontId="91" fillId="0" borderId="32" xfId="28" applyFont="1" applyBorder="1" applyAlignment="1">
      <alignment vertical="center"/>
    </xf>
    <xf numFmtId="0" fontId="25" fillId="0" borderId="29" xfId="0" applyFont="1" applyBorder="1"/>
    <xf numFmtId="167" fontId="91" fillId="0" borderId="33" xfId="28" applyFont="1" applyBorder="1" applyAlignment="1">
      <alignment vertical="center"/>
    </xf>
    <xf numFmtId="167" fontId="92" fillId="0" borderId="34" xfId="28" applyFont="1" applyBorder="1" applyAlignment="1">
      <alignment horizontal="center" vertical="center"/>
    </xf>
    <xf numFmtId="167" fontId="91" fillId="0" borderId="34" xfId="28" applyFont="1" applyBorder="1" applyAlignment="1">
      <alignment vertical="center"/>
    </xf>
    <xf numFmtId="167" fontId="91" fillId="0" borderId="35" xfId="28" applyFont="1" applyBorder="1" applyAlignment="1">
      <alignment vertical="center"/>
    </xf>
    <xf numFmtId="0" fontId="25" fillId="0" borderId="12" xfId="0" applyFont="1" applyBorder="1"/>
    <xf numFmtId="167" fontId="25" fillId="0" borderId="12" xfId="0" applyNumberFormat="1" applyFont="1" applyBorder="1"/>
    <xf numFmtId="167" fontId="82" fillId="0" borderId="29" xfId="0" applyNumberFormat="1" applyFont="1" applyBorder="1"/>
    <xf numFmtId="167" fontId="82" fillId="0" borderId="15" xfId="0" applyNumberFormat="1" applyFont="1" applyBorder="1" applyAlignment="1"/>
    <xf numFmtId="2" fontId="82" fillId="0" borderId="15" xfId="28" applyNumberFormat="1" applyFont="1" applyBorder="1" applyAlignment="1">
      <alignment horizontal="center"/>
    </xf>
    <xf numFmtId="167" fontId="82" fillId="0" borderId="15" xfId="0" applyNumberFormat="1" applyFont="1" applyBorder="1" applyAlignment="1">
      <alignment horizontal="center"/>
    </xf>
    <xf numFmtId="167" fontId="25" fillId="0" borderId="15" xfId="0" applyNumberFormat="1" applyFont="1" applyBorder="1" applyAlignment="1"/>
    <xf numFmtId="3" fontId="19" fillId="0" borderId="0" xfId="0" applyNumberFormat="1" applyFont="1" applyAlignment="1"/>
    <xf numFmtId="3" fontId="63" fillId="0" borderId="0" xfId="0" applyNumberFormat="1" applyFont="1" applyAlignment="1"/>
    <xf numFmtId="49" fontId="82" fillId="0" borderId="15" xfId="28" applyNumberFormat="1" applyFont="1" applyBorder="1" applyAlignment="1">
      <alignment horizontal="center"/>
    </xf>
    <xf numFmtId="167" fontId="60" fillId="0" borderId="12" xfId="0" applyNumberFormat="1" applyFont="1" applyBorder="1"/>
    <xf numFmtId="167" fontId="26" fillId="0" borderId="72" xfId="0" applyNumberFormat="1" applyFont="1" applyBorder="1" applyAlignment="1"/>
    <xf numFmtId="167" fontId="26" fillId="0" borderId="72" xfId="28" applyFont="1" applyBorder="1"/>
    <xf numFmtId="167" fontId="25" fillId="0" borderId="12" xfId="28" applyNumberFormat="1" applyFont="1" applyBorder="1" applyAlignment="1">
      <alignment horizontal="center"/>
    </xf>
    <xf numFmtId="43" fontId="25" fillId="0" borderId="15" xfId="28" applyNumberFormat="1" applyFont="1" applyBorder="1" applyAlignment="1">
      <alignment horizontal="center"/>
    </xf>
    <xf numFmtId="0" fontId="63" fillId="0" borderId="16" xfId="0" applyFont="1" applyBorder="1" applyAlignment="1">
      <alignment vertical="center" wrapText="1"/>
    </xf>
    <xf numFmtId="0" fontId="63" fillId="0" borderId="15" xfId="0" quotePrefix="1" applyFont="1" applyBorder="1" applyAlignment="1">
      <alignment horizontal="center"/>
    </xf>
    <xf numFmtId="0" fontId="58" fillId="0" borderId="0" xfId="0" applyFont="1" applyAlignment="1">
      <alignment horizontal="center"/>
    </xf>
    <xf numFmtId="0" fontId="63" fillId="0" borderId="0" xfId="0" applyFont="1" applyAlignment="1">
      <alignment horizontal="center"/>
    </xf>
    <xf numFmtId="43" fontId="29" fillId="0" borderId="39" xfId="28" applyNumberFormat="1" applyFont="1" applyBorder="1" applyAlignment="1"/>
    <xf numFmtId="43" fontId="29" fillId="0" borderId="39" xfId="28" applyNumberFormat="1" applyFont="1" applyBorder="1" applyAlignment="1">
      <alignment horizontal="right"/>
    </xf>
    <xf numFmtId="0" fontId="92" fillId="0" borderId="15" xfId="0" applyFont="1" applyBorder="1" applyAlignment="1"/>
    <xf numFmtId="167" fontId="82" fillId="0" borderId="12" xfId="0" applyNumberFormat="1" applyFont="1" applyBorder="1"/>
    <xf numFmtId="0" fontId="53" fillId="0" borderId="0" xfId="0" applyFont="1" applyAlignment="1"/>
    <xf numFmtId="0" fontId="2" fillId="0" borderId="0" xfId="0" applyFont="1" applyAlignment="1"/>
    <xf numFmtId="0" fontId="95" fillId="0" borderId="0" xfId="0" applyFont="1"/>
    <xf numFmtId="0" fontId="25" fillId="0" borderId="36" xfId="0" applyFont="1" applyBorder="1"/>
    <xf numFmtId="167" fontId="25" fillId="0" borderId="36" xfId="0" applyNumberFormat="1" applyFont="1" applyBorder="1"/>
    <xf numFmtId="167" fontId="95" fillId="0" borderId="39" xfId="28" applyFont="1" applyBorder="1" applyAlignment="1">
      <alignment vertical="center"/>
    </xf>
    <xf numFmtId="167" fontId="97" fillId="0" borderId="0" xfId="28" applyFont="1" applyBorder="1" applyAlignment="1">
      <alignment vertical="center"/>
    </xf>
    <xf numFmtId="167" fontId="97" fillId="0" borderId="33" xfId="28" applyFont="1" applyBorder="1" applyAlignment="1">
      <alignment vertical="center"/>
    </xf>
    <xf numFmtId="167" fontId="98" fillId="0" borderId="34" xfId="28" applyFont="1" applyBorder="1" applyAlignment="1">
      <alignment vertical="center"/>
    </xf>
    <xf numFmtId="0" fontId="88" fillId="0" borderId="29" xfId="0" applyFont="1" applyBorder="1" applyAlignment="1">
      <alignment horizontal="center"/>
    </xf>
    <xf numFmtId="0" fontId="88" fillId="0" borderId="12" xfId="0" applyFont="1" applyBorder="1" applyAlignment="1">
      <alignment horizontal="center"/>
    </xf>
    <xf numFmtId="0" fontId="88" fillId="0" borderId="15" xfId="0" applyFont="1" applyBorder="1" applyAlignment="1">
      <alignment horizontal="center"/>
    </xf>
    <xf numFmtId="167" fontId="94" fillId="0" borderId="15" xfId="28" applyFont="1" applyBorder="1"/>
    <xf numFmtId="167" fontId="95" fillId="0" borderId="15" xfId="28" applyFont="1" applyBorder="1"/>
    <xf numFmtId="0" fontId="95" fillId="0" borderId="15" xfId="0" applyFont="1" applyBorder="1" applyAlignment="1">
      <alignment horizontal="center"/>
    </xf>
    <xf numFmtId="0" fontId="95" fillId="0" borderId="15" xfId="0" applyFont="1" applyBorder="1"/>
    <xf numFmtId="43" fontId="95" fillId="0" borderId="15" xfId="28" applyNumberFormat="1" applyFont="1" applyBorder="1" applyAlignment="1">
      <alignment horizontal="right"/>
    </xf>
    <xf numFmtId="167" fontId="95" fillId="0" borderId="15" xfId="0" applyNumberFormat="1" applyFont="1" applyBorder="1"/>
    <xf numFmtId="0" fontId="95" fillId="0" borderId="15" xfId="0" applyFont="1" applyBorder="1" applyAlignment="1">
      <alignment horizontal="right"/>
    </xf>
    <xf numFmtId="43" fontId="95" fillId="0" borderId="15" xfId="28" applyNumberFormat="1" applyFont="1" applyBorder="1" applyAlignment="1">
      <alignment horizontal="center"/>
    </xf>
    <xf numFmtId="0" fontId="95" fillId="0" borderId="31" xfId="0" applyFont="1" applyBorder="1" applyAlignment="1">
      <alignment horizontal="right"/>
    </xf>
    <xf numFmtId="0" fontId="95" fillId="0" borderId="28" xfId="0" applyFont="1" applyBorder="1" applyAlignment="1"/>
    <xf numFmtId="43" fontId="95" fillId="0" borderId="28" xfId="28" applyNumberFormat="1" applyFont="1" applyBorder="1" applyAlignment="1">
      <alignment horizontal="right"/>
    </xf>
    <xf numFmtId="167" fontId="95" fillId="0" borderId="28" xfId="28" applyFont="1" applyBorder="1" applyAlignment="1">
      <alignment horizontal="left"/>
    </xf>
    <xf numFmtId="0" fontId="95" fillId="0" borderId="28" xfId="0" applyFont="1" applyBorder="1" applyAlignment="1">
      <alignment horizontal="center"/>
    </xf>
    <xf numFmtId="167" fontId="95" fillId="0" borderId="28" xfId="28" applyFont="1" applyBorder="1" applyAlignment="1">
      <alignment horizontal="right"/>
    </xf>
    <xf numFmtId="167" fontId="95" fillId="0" borderId="29" xfId="28" applyFont="1" applyBorder="1"/>
    <xf numFmtId="0" fontId="95" fillId="0" borderId="39" xfId="0" applyFont="1" applyBorder="1" applyAlignment="1">
      <alignment horizontal="right"/>
    </xf>
    <xf numFmtId="0" fontId="95" fillId="0" borderId="0" xfId="0" applyFont="1" applyBorder="1" applyAlignment="1"/>
    <xf numFmtId="43" fontId="95" fillId="0" borderId="0" xfId="28" applyNumberFormat="1" applyFont="1" applyBorder="1" applyAlignment="1">
      <alignment horizontal="right"/>
    </xf>
    <xf numFmtId="167" fontId="95" fillId="0" borderId="0" xfId="28" applyFont="1" applyBorder="1" applyAlignment="1">
      <alignment horizontal="left"/>
    </xf>
    <xf numFmtId="0" fontId="95" fillId="0" borderId="0" xfId="0" applyFont="1" applyBorder="1" applyAlignment="1">
      <alignment horizontal="center"/>
    </xf>
    <xf numFmtId="43" fontId="95" fillId="0" borderId="40" xfId="28" applyNumberFormat="1" applyFont="1" applyBorder="1" applyAlignment="1">
      <alignment horizontal="right"/>
    </xf>
    <xf numFmtId="167" fontId="95" fillId="0" borderId="31" xfId="28" applyFont="1" applyBorder="1" applyAlignment="1">
      <alignment vertical="center"/>
    </xf>
    <xf numFmtId="167" fontId="97" fillId="0" borderId="28" xfId="28" applyFont="1" applyBorder="1" applyAlignment="1">
      <alignment vertical="center"/>
    </xf>
    <xf numFmtId="167" fontId="97" fillId="0" borderId="32" xfId="28" applyFont="1" applyBorder="1" applyAlignment="1">
      <alignment vertical="center"/>
    </xf>
    <xf numFmtId="0" fontId="95" fillId="0" borderId="29" xfId="0" applyFont="1" applyBorder="1"/>
    <xf numFmtId="167" fontId="88" fillId="0" borderId="29" xfId="0" applyNumberFormat="1" applyFont="1" applyBorder="1"/>
    <xf numFmtId="167" fontId="97" fillId="0" borderId="40" xfId="28" applyFont="1" applyBorder="1" applyAlignment="1">
      <alignment vertical="center"/>
    </xf>
    <xf numFmtId="0" fontId="95" fillId="0" borderId="24" xfId="0" applyFont="1" applyBorder="1"/>
    <xf numFmtId="167" fontId="88" fillId="0" borderId="24" xfId="0" applyNumberFormat="1" applyFont="1" applyBorder="1"/>
    <xf numFmtId="167" fontId="88" fillId="0" borderId="15" xfId="0" applyNumberFormat="1" applyFont="1" applyBorder="1"/>
    <xf numFmtId="167" fontId="97" fillId="0" borderId="34" xfId="28" applyFont="1" applyBorder="1" applyAlignment="1">
      <alignment vertical="center"/>
    </xf>
    <xf numFmtId="167" fontId="97" fillId="0" borderId="35" xfId="28" applyFont="1" applyBorder="1" applyAlignment="1">
      <alignment vertical="center"/>
    </xf>
    <xf numFmtId="0" fontId="95" fillId="0" borderId="12" xfId="0" applyFont="1" applyBorder="1"/>
    <xf numFmtId="167" fontId="88" fillId="0" borderId="12" xfId="0" applyNumberFormat="1" applyFont="1" applyBorder="1"/>
    <xf numFmtId="0" fontId="99" fillId="0" borderId="0" xfId="0" applyFont="1"/>
    <xf numFmtId="167" fontId="91" fillId="0" borderId="78" xfId="28" applyFont="1" applyBorder="1" applyAlignment="1">
      <alignment vertical="center"/>
    </xf>
    <xf numFmtId="167" fontId="91" fillId="0" borderId="79" xfId="28" applyFont="1" applyBorder="1" applyAlignment="1">
      <alignment vertical="center"/>
    </xf>
    <xf numFmtId="167" fontId="91" fillId="0" borderId="62" xfId="28" applyFont="1" applyBorder="1" applyAlignment="1">
      <alignment vertical="center"/>
    </xf>
    <xf numFmtId="0" fontId="25" fillId="0" borderId="15" xfId="0" applyFont="1" applyBorder="1"/>
    <xf numFmtId="167" fontId="25" fillId="0" borderId="72" xfId="0" applyNumberFormat="1" applyFont="1" applyBorder="1"/>
    <xf numFmtId="167" fontId="30" fillId="0" borderId="22" xfId="28" applyFont="1" applyBorder="1"/>
    <xf numFmtId="167" fontId="30" fillId="0" borderId="0" xfId="28" applyFont="1" applyBorder="1"/>
    <xf numFmtId="0" fontId="54" fillId="0" borderId="0" xfId="0" applyFont="1" applyAlignment="1">
      <alignment horizontal="center"/>
    </xf>
    <xf numFmtId="167" fontId="26" fillId="0" borderId="15" xfId="28" applyNumberFormat="1" applyFont="1" applyBorder="1"/>
    <xf numFmtId="0" fontId="82" fillId="0" borderId="15" xfId="0" applyFont="1" applyFill="1" applyBorder="1" applyAlignment="1">
      <alignment horizontal="center" vertical="center"/>
    </xf>
    <xf numFmtId="167" fontId="25" fillId="0" borderId="12" xfId="28" applyNumberFormat="1" applyFont="1" applyBorder="1"/>
    <xf numFmtId="167" fontId="82" fillId="0" borderId="15" xfId="28" applyNumberFormat="1" applyFont="1" applyBorder="1"/>
    <xf numFmtId="167" fontId="25" fillId="0" borderId="15" xfId="28" applyNumberFormat="1" applyFont="1" applyBorder="1"/>
    <xf numFmtId="0" fontId="82" fillId="0" borderId="0" xfId="0" applyFont="1" applyBorder="1"/>
    <xf numFmtId="167" fontId="25" fillId="0" borderId="0" xfId="0" applyNumberFormat="1" applyFont="1" applyBorder="1"/>
    <xf numFmtId="167" fontId="90" fillId="0" borderId="0" xfId="28" applyFont="1"/>
    <xf numFmtId="167" fontId="101" fillId="0" borderId="0" xfId="28" applyFont="1"/>
    <xf numFmtId="0" fontId="30" fillId="0" borderId="15" xfId="0" applyFont="1" applyBorder="1"/>
    <xf numFmtId="1" fontId="30" fillId="0" borderId="15" xfId="0" applyNumberFormat="1" applyFont="1" applyBorder="1" applyAlignment="1">
      <alignment horizontal="center"/>
    </xf>
    <xf numFmtId="1" fontId="29" fillId="0" borderId="12" xfId="28" applyNumberFormat="1" applyFont="1" applyBorder="1" applyAlignment="1">
      <alignment horizontal="center" vertical="center"/>
    </xf>
    <xf numFmtId="1" fontId="29" fillId="0" borderId="15" xfId="28" applyNumberFormat="1" applyFont="1" applyBorder="1" applyAlignment="1">
      <alignment horizontal="center" vertical="center"/>
    </xf>
    <xf numFmtId="4" fontId="30" fillId="0" borderId="15" xfId="0" applyNumberFormat="1" applyFont="1" applyBorder="1"/>
    <xf numFmtId="167" fontId="102" fillId="0" borderId="0" xfId="28" applyFont="1"/>
    <xf numFmtId="3" fontId="103" fillId="0" borderId="91" xfId="0" applyNumberFormat="1" applyFont="1" applyBorder="1" applyAlignment="1">
      <alignment horizontal="center" wrapText="1"/>
    </xf>
    <xf numFmtId="0" fontId="103" fillId="0" borderId="92" xfId="0" applyFont="1" applyBorder="1" applyAlignment="1">
      <alignment horizontal="center" wrapText="1"/>
    </xf>
    <xf numFmtId="3" fontId="103" fillId="0" borderId="92" xfId="0" applyNumberFormat="1" applyFont="1" applyBorder="1" applyAlignment="1">
      <alignment horizontal="center" wrapText="1"/>
    </xf>
    <xf numFmtId="3" fontId="103" fillId="0" borderId="93" xfId="0" applyNumberFormat="1" applyFont="1" applyBorder="1" applyAlignment="1">
      <alignment horizontal="center" wrapText="1"/>
    </xf>
    <xf numFmtId="0" fontId="103" fillId="0" borderId="94" xfId="0" applyFont="1" applyBorder="1" applyAlignment="1">
      <alignment horizontal="center" wrapText="1"/>
    </xf>
    <xf numFmtId="3" fontId="103" fillId="0" borderId="94" xfId="0" applyNumberFormat="1" applyFont="1" applyBorder="1" applyAlignment="1">
      <alignment horizontal="center" wrapText="1"/>
    </xf>
    <xf numFmtId="3" fontId="114" fillId="0" borderId="93" xfId="0" applyNumberFormat="1" applyFont="1" applyBorder="1" applyAlignment="1">
      <alignment horizontal="center" wrapText="1"/>
    </xf>
    <xf numFmtId="0" fontId="41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1" fillId="0" borderId="29" xfId="0" applyFont="1" applyBorder="1" applyAlignment="1">
      <alignment horizontal="center" vertical="center"/>
    </xf>
    <xf numFmtId="0" fontId="41" fillId="0" borderId="12" xfId="0" applyFont="1" applyBorder="1" applyAlignment="1">
      <alignment horizontal="center" vertical="center"/>
    </xf>
    <xf numFmtId="0" fontId="41" fillId="0" borderId="36" xfId="0" applyFont="1" applyBorder="1" applyAlignment="1">
      <alignment horizontal="center" vertical="center"/>
    </xf>
    <xf numFmtId="0" fontId="41" fillId="0" borderId="37" xfId="0" applyFont="1" applyBorder="1" applyAlignment="1">
      <alignment horizontal="center" vertical="center" wrapText="1"/>
    </xf>
    <xf numFmtId="0" fontId="41" fillId="0" borderId="60" xfId="0" applyFont="1" applyBorder="1" applyAlignment="1">
      <alignment horizontal="center"/>
    </xf>
    <xf numFmtId="0" fontId="41" fillId="0" borderId="10" xfId="0" applyFont="1" applyBorder="1"/>
    <xf numFmtId="0" fontId="41" fillId="0" borderId="11" xfId="0" applyFont="1" applyBorder="1"/>
    <xf numFmtId="0" fontId="41" fillId="0" borderId="14" xfId="0" applyFont="1" applyBorder="1" applyAlignment="1">
      <alignment horizontal="center"/>
    </xf>
    <xf numFmtId="14" fontId="41" fillId="0" borderId="15" xfId="0" quotePrefix="1" applyNumberFormat="1" applyFont="1" applyBorder="1" applyAlignment="1">
      <alignment horizontal="center"/>
    </xf>
    <xf numFmtId="0" fontId="41" fillId="0" borderId="15" xfId="0" applyFont="1" applyBorder="1"/>
    <xf numFmtId="0" fontId="39" fillId="0" borderId="36" xfId="0" applyFont="1" applyBorder="1"/>
    <xf numFmtId="0" fontId="41" fillId="0" borderId="14" xfId="0" applyFont="1" applyBorder="1"/>
    <xf numFmtId="0" fontId="41" fillId="0" borderId="36" xfId="0" applyFont="1" applyBorder="1"/>
    <xf numFmtId="0" fontId="41" fillId="0" borderId="31" xfId="0" applyFont="1" applyBorder="1" applyAlignment="1">
      <alignment horizontal="center"/>
    </xf>
    <xf numFmtId="0" fontId="41" fillId="0" borderId="28" xfId="0" applyFont="1" applyBorder="1" applyAlignment="1">
      <alignment horizontal="center"/>
    </xf>
    <xf numFmtId="0" fontId="41" fillId="0" borderId="32" xfId="0" applyFont="1" applyBorder="1" applyAlignment="1">
      <alignment horizontal="center"/>
    </xf>
    <xf numFmtId="0" fontId="41" fillId="0" borderId="16" xfId="0" applyFont="1" applyBorder="1" applyAlignment="1">
      <alignment vertical="center" wrapText="1"/>
    </xf>
    <xf numFmtId="0" fontId="41" fillId="0" borderId="33" xfId="0" applyFont="1" applyBorder="1" applyAlignment="1">
      <alignment horizontal="center"/>
    </xf>
    <xf numFmtId="0" fontId="41" fillId="0" borderId="34" xfId="0" applyFont="1" applyBorder="1" applyAlignment="1">
      <alignment horizontal="center"/>
    </xf>
    <xf numFmtId="0" fontId="41" fillId="0" borderId="35" xfId="0" applyFont="1" applyBorder="1" applyAlignment="1">
      <alignment horizontal="center"/>
    </xf>
    <xf numFmtId="0" fontId="41" fillId="0" borderId="39" xfId="0" applyFont="1" applyBorder="1"/>
    <xf numFmtId="0" fontId="41" fillId="0" borderId="62" xfId="0" quotePrefix="1" applyFont="1" applyBorder="1"/>
    <xf numFmtId="0" fontId="41" fillId="0" borderId="16" xfId="0" applyFont="1" applyBorder="1"/>
    <xf numFmtId="0" fontId="41" fillId="0" borderId="63" xfId="0" applyFont="1" applyBorder="1" applyAlignment="1">
      <alignment horizontal="center"/>
    </xf>
    <xf numFmtId="0" fontId="41" fillId="0" borderId="15" xfId="0" quotePrefix="1" applyFont="1" applyBorder="1" applyAlignment="1">
      <alignment horizontal="center"/>
    </xf>
    <xf numFmtId="0" fontId="41" fillId="0" borderId="26" xfId="0" applyFont="1" applyBorder="1"/>
    <xf numFmtId="0" fontId="41" fillId="0" borderId="64" xfId="0" applyFont="1" applyBorder="1"/>
    <xf numFmtId="0" fontId="41" fillId="0" borderId="24" xfId="0" applyFont="1" applyBorder="1"/>
    <xf numFmtId="0" fontId="41" fillId="0" borderId="65" xfId="0" applyFont="1" applyBorder="1"/>
    <xf numFmtId="0" fontId="41" fillId="0" borderId="25" xfId="0" applyFont="1" applyBorder="1"/>
    <xf numFmtId="0" fontId="26" fillId="0" borderId="0" xfId="0" applyFont="1" applyAlignment="1"/>
    <xf numFmtId="0" fontId="104" fillId="0" borderId="0" xfId="0" applyFont="1"/>
    <xf numFmtId="0" fontId="104" fillId="0" borderId="0" xfId="0" applyFont="1" applyAlignment="1">
      <alignment horizontal="center"/>
    </xf>
    <xf numFmtId="0" fontId="25" fillId="0" borderId="41" xfId="0" applyFont="1" applyBorder="1" applyAlignment="1">
      <alignment horizontal="center"/>
    </xf>
    <xf numFmtId="0" fontId="25" fillId="0" borderId="42" xfId="0" applyFont="1" applyBorder="1" applyAlignment="1">
      <alignment horizontal="center"/>
    </xf>
    <xf numFmtId="0" fontId="25" fillId="0" borderId="46" xfId="0" applyFont="1" applyBorder="1" applyAlignment="1">
      <alignment horizontal="center"/>
    </xf>
    <xf numFmtId="167" fontId="82" fillId="0" borderId="47" xfId="0" applyNumberFormat="1" applyFont="1" applyBorder="1" applyAlignment="1"/>
    <xf numFmtId="167" fontId="25" fillId="0" borderId="73" xfId="0" applyNumberFormat="1" applyFont="1" applyBorder="1" applyAlignment="1"/>
    <xf numFmtId="0" fontId="82" fillId="0" borderId="46" xfId="0" applyFont="1" applyBorder="1" applyAlignment="1">
      <alignment horizontal="right"/>
    </xf>
    <xf numFmtId="167" fontId="82" fillId="0" borderId="47" xfId="0" applyNumberFormat="1" applyFont="1" applyBorder="1"/>
    <xf numFmtId="0" fontId="82" fillId="0" borderId="76" xfId="0" applyFont="1" applyBorder="1" applyAlignment="1">
      <alignment horizontal="right"/>
    </xf>
    <xf numFmtId="167" fontId="25" fillId="0" borderId="47" xfId="0" applyNumberFormat="1" applyFont="1" applyBorder="1"/>
    <xf numFmtId="0" fontId="82" fillId="0" borderId="80" xfId="0" applyFont="1" applyBorder="1"/>
    <xf numFmtId="167" fontId="82" fillId="0" borderId="47" xfId="28" applyFont="1" applyBorder="1"/>
    <xf numFmtId="0" fontId="82" fillId="0" borderId="77" xfId="0" applyFont="1" applyBorder="1"/>
    <xf numFmtId="167" fontId="25" fillId="0" borderId="47" xfId="28" applyFont="1" applyBorder="1"/>
    <xf numFmtId="167" fontId="91" fillId="0" borderId="76" xfId="28" applyFont="1" applyBorder="1" applyAlignment="1">
      <alignment vertical="center"/>
    </xf>
    <xf numFmtId="167" fontId="25" fillId="0" borderId="45" xfId="0" applyNumberFormat="1" applyFont="1" applyBorder="1"/>
    <xf numFmtId="167" fontId="91" fillId="0" borderId="55" xfId="28" applyFont="1" applyBorder="1" applyAlignment="1">
      <alignment vertical="center"/>
    </xf>
    <xf numFmtId="167" fontId="92" fillId="0" borderId="56" xfId="28" applyFont="1" applyBorder="1" applyAlignment="1">
      <alignment horizontal="center" vertical="center"/>
    </xf>
    <xf numFmtId="167" fontId="91" fillId="0" borderId="56" xfId="28" applyFont="1" applyBorder="1" applyAlignment="1">
      <alignment vertical="center"/>
    </xf>
    <xf numFmtId="167" fontId="91" fillId="0" borderId="57" xfId="28" applyFont="1" applyBorder="1" applyAlignment="1">
      <alignment vertical="center"/>
    </xf>
    <xf numFmtId="0" fontId="25" fillId="0" borderId="49" xfId="0" applyFont="1" applyBorder="1"/>
    <xf numFmtId="167" fontId="25" fillId="0" borderId="50" xfId="0" applyNumberFormat="1" applyFont="1" applyBorder="1"/>
    <xf numFmtId="0" fontId="25" fillId="0" borderId="49" xfId="0" applyFont="1" applyBorder="1" applyAlignment="1">
      <alignment horizontal="center"/>
    </xf>
    <xf numFmtId="0" fontId="25" fillId="0" borderId="50" xfId="0" applyFont="1" applyBorder="1" applyAlignment="1">
      <alignment horizontal="center"/>
    </xf>
    <xf numFmtId="0" fontId="82" fillId="0" borderId="46" xfId="0" applyFont="1" applyBorder="1" applyAlignment="1">
      <alignment horizontal="center"/>
    </xf>
    <xf numFmtId="191" fontId="2" fillId="0" borderId="0" xfId="0" applyNumberFormat="1" applyFont="1" applyAlignment="1"/>
    <xf numFmtId="167" fontId="25" fillId="0" borderId="15" xfId="0" applyNumberFormat="1" applyFont="1" applyBorder="1" applyAlignment="1">
      <alignment horizontal="center"/>
    </xf>
    <xf numFmtId="167" fontId="59" fillId="0" borderId="0" xfId="28" applyFont="1"/>
    <xf numFmtId="167" fontId="59" fillId="0" borderId="0" xfId="28" applyFont="1" applyAlignment="1">
      <alignment horizontal="left" vertical="top"/>
    </xf>
    <xf numFmtId="165" fontId="90" fillId="0" borderId="0" xfId="29" applyFont="1"/>
    <xf numFmtId="190" fontId="59" fillId="0" borderId="0" xfId="28" applyNumberFormat="1" applyFont="1"/>
    <xf numFmtId="167" fontId="59" fillId="0" borderId="0" xfId="28" applyFont="1" applyAlignment="1">
      <alignment horizontal="right"/>
    </xf>
    <xf numFmtId="0" fontId="25" fillId="0" borderId="12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/>
    </xf>
    <xf numFmtId="0" fontId="25" fillId="0" borderId="11" xfId="0" applyFont="1" applyBorder="1" applyAlignment="1">
      <alignment horizontal="center"/>
    </xf>
    <xf numFmtId="0" fontId="25" fillId="0" borderId="69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86" fillId="0" borderId="15" xfId="0" applyFont="1" applyBorder="1" applyAlignment="1">
      <alignment vertical="center"/>
    </xf>
    <xf numFmtId="167" fontId="82" fillId="0" borderId="15" xfId="28" applyFont="1" applyBorder="1" applyAlignment="1">
      <alignment horizontal="center" vertical="center"/>
    </xf>
    <xf numFmtId="0" fontId="82" fillId="0" borderId="15" xfId="0" applyFont="1" applyBorder="1" applyAlignment="1">
      <alignment horizontal="center" vertical="center"/>
    </xf>
    <xf numFmtId="0" fontId="82" fillId="0" borderId="15" xfId="0" applyFont="1" applyBorder="1" applyAlignment="1">
      <alignment vertical="center"/>
    </xf>
    <xf numFmtId="43" fontId="82" fillId="0" borderId="15" xfId="28" applyNumberFormat="1" applyFont="1" applyBorder="1" applyAlignment="1">
      <alignment horizontal="right" vertical="center"/>
    </xf>
    <xf numFmtId="167" fontId="82" fillId="0" borderId="16" xfId="0" applyNumberFormat="1" applyFont="1" applyBorder="1" applyAlignment="1">
      <alignment vertical="center"/>
    </xf>
    <xf numFmtId="0" fontId="82" fillId="0" borderId="14" xfId="0" applyFont="1" applyBorder="1" applyAlignment="1">
      <alignment horizontal="center" vertical="center"/>
    </xf>
    <xf numFmtId="0" fontId="90" fillId="0" borderId="0" xfId="0" applyFont="1" applyBorder="1"/>
    <xf numFmtId="0" fontId="90" fillId="0" borderId="15" xfId="0" applyFont="1" applyBorder="1" applyAlignment="1">
      <alignment horizontal="center"/>
    </xf>
    <xf numFmtId="4" fontId="82" fillId="0" borderId="15" xfId="0" applyNumberFormat="1" applyFont="1" applyBorder="1" applyAlignment="1">
      <alignment horizontal="right" vertical="center"/>
    </xf>
    <xf numFmtId="4" fontId="82" fillId="0" borderId="15" xfId="28" applyNumberFormat="1" applyFont="1" applyBorder="1" applyAlignment="1">
      <alignment horizontal="right" vertical="center"/>
    </xf>
    <xf numFmtId="4" fontId="82" fillId="0" borderId="16" xfId="0" applyNumberFormat="1" applyFont="1" applyBorder="1" applyAlignment="1">
      <alignment vertical="center"/>
    </xf>
    <xf numFmtId="0" fontId="82" fillId="0" borderId="0" xfId="0" applyFont="1" applyBorder="1" applyAlignment="1">
      <alignment horizontal="center" vertical="center"/>
    </xf>
    <xf numFmtId="0" fontId="82" fillId="0" borderId="69" xfId="0" applyFont="1" applyBorder="1" applyAlignment="1">
      <alignment horizontal="right" vertical="center"/>
    </xf>
    <xf numFmtId="0" fontId="82" fillId="0" borderId="12" xfId="0" applyFont="1" applyBorder="1" applyAlignment="1">
      <alignment vertical="center"/>
    </xf>
    <xf numFmtId="1" fontId="82" fillId="0" borderId="12" xfId="28" applyNumberFormat="1" applyFont="1" applyBorder="1" applyAlignment="1">
      <alignment horizontal="center" vertical="center"/>
    </xf>
    <xf numFmtId="43" fontId="82" fillId="0" borderId="12" xfId="28" applyNumberFormat="1" applyFont="1" applyBorder="1" applyAlignment="1">
      <alignment horizontal="center" vertical="center"/>
    </xf>
    <xf numFmtId="0" fontId="82" fillId="0" borderId="12" xfId="0" applyFont="1" applyBorder="1" applyAlignment="1">
      <alignment horizontal="center" vertical="center"/>
    </xf>
    <xf numFmtId="4" fontId="82" fillId="0" borderId="12" xfId="0" applyNumberFormat="1" applyFont="1" applyBorder="1" applyAlignment="1">
      <alignment vertical="center"/>
    </xf>
    <xf numFmtId="4" fontId="82" fillId="0" borderId="12" xfId="28" applyNumberFormat="1" applyFont="1" applyBorder="1" applyAlignment="1">
      <alignment horizontal="right" vertical="center"/>
    </xf>
    <xf numFmtId="167" fontId="25" fillId="0" borderId="13" xfId="0" applyNumberFormat="1" applyFont="1" applyBorder="1" applyAlignment="1">
      <alignment vertical="center"/>
    </xf>
    <xf numFmtId="1" fontId="82" fillId="0" borderId="15" xfId="28" applyNumberFormat="1" applyFont="1" applyBorder="1" applyAlignment="1">
      <alignment horizontal="center" vertical="center"/>
    </xf>
    <xf numFmtId="4" fontId="82" fillId="0" borderId="15" xfId="0" applyNumberFormat="1" applyFont="1" applyBorder="1" applyAlignment="1">
      <alignment vertical="center"/>
    </xf>
    <xf numFmtId="0" fontId="90" fillId="0" borderId="15" xfId="0" applyFont="1" applyBorder="1"/>
    <xf numFmtId="4" fontId="90" fillId="0" borderId="15" xfId="0" applyNumberFormat="1" applyFont="1" applyBorder="1"/>
    <xf numFmtId="2" fontId="82" fillId="0" borderId="12" xfId="28" applyNumberFormat="1" applyFont="1" applyBorder="1" applyAlignment="1">
      <alignment horizontal="center" vertical="center"/>
    </xf>
    <xf numFmtId="0" fontId="25" fillId="0" borderId="19" xfId="0" applyFont="1" applyBorder="1" applyAlignment="1">
      <alignment horizontal="center" vertical="center"/>
    </xf>
    <xf numFmtId="0" fontId="82" fillId="0" borderId="0" xfId="0" applyFont="1" applyBorder="1" applyAlignment="1">
      <alignment vertical="center"/>
    </xf>
    <xf numFmtId="2" fontId="82" fillId="0" borderId="0" xfId="28" applyNumberFormat="1" applyFont="1" applyBorder="1" applyAlignment="1">
      <alignment horizontal="center" vertical="center"/>
    </xf>
    <xf numFmtId="167" fontId="82" fillId="0" borderId="0" xfId="28" applyFont="1" applyBorder="1" applyAlignment="1">
      <alignment horizontal="right" vertical="center"/>
    </xf>
    <xf numFmtId="167" fontId="82" fillId="0" borderId="40" xfId="28" applyFont="1" applyBorder="1" applyAlignment="1">
      <alignment horizontal="right" vertical="center"/>
    </xf>
    <xf numFmtId="0" fontId="25" fillId="0" borderId="70" xfId="0" applyFont="1" applyBorder="1" applyAlignment="1">
      <alignment horizontal="center" vertical="center"/>
    </xf>
    <xf numFmtId="0" fontId="82" fillId="0" borderId="34" xfId="0" quotePrefix="1" applyFont="1" applyBorder="1" applyAlignment="1">
      <alignment vertical="center"/>
    </xf>
    <xf numFmtId="2" fontId="82" fillId="0" borderId="34" xfId="28" applyNumberFormat="1" applyFont="1" applyBorder="1" applyAlignment="1">
      <alignment horizontal="center" vertical="center"/>
    </xf>
    <xf numFmtId="0" fontId="82" fillId="0" borderId="34" xfId="0" applyFont="1" applyBorder="1" applyAlignment="1">
      <alignment horizontal="center" vertical="center"/>
    </xf>
    <xf numFmtId="167" fontId="82" fillId="0" borderId="34" xfId="0" applyNumberFormat="1" applyFont="1" applyBorder="1" applyAlignment="1">
      <alignment vertical="center"/>
    </xf>
    <xf numFmtId="0" fontId="82" fillId="0" borderId="0" xfId="0" quotePrefix="1" applyFont="1" applyBorder="1" applyAlignment="1">
      <alignment vertical="center"/>
    </xf>
    <xf numFmtId="167" fontId="82" fillId="0" borderId="0" xfId="0" applyNumberFormat="1" applyFont="1" applyBorder="1" applyAlignment="1">
      <alignment vertical="center"/>
    </xf>
    <xf numFmtId="0" fontId="82" fillId="0" borderId="40" xfId="0" applyFont="1" applyBorder="1" applyAlignment="1">
      <alignment vertical="center"/>
    </xf>
    <xf numFmtId="167" fontId="25" fillId="0" borderId="16" xfId="0" applyNumberFormat="1" applyFont="1" applyBorder="1" applyAlignment="1">
      <alignment vertical="center"/>
    </xf>
    <xf numFmtId="0" fontId="82" fillId="0" borderId="17" xfId="0" applyFont="1" applyBorder="1" applyAlignment="1">
      <alignment horizontal="right" vertical="center"/>
    </xf>
    <xf numFmtId="0" fontId="82" fillId="0" borderId="18" xfId="0" applyFont="1" applyBorder="1" applyAlignment="1">
      <alignment vertical="center"/>
    </xf>
    <xf numFmtId="43" fontId="82" fillId="0" borderId="18" xfId="28" applyNumberFormat="1" applyFont="1" applyBorder="1" applyAlignment="1">
      <alignment horizontal="right" vertical="center"/>
    </xf>
    <xf numFmtId="167" fontId="82" fillId="0" borderId="18" xfId="28" applyFont="1" applyBorder="1" applyAlignment="1">
      <alignment horizontal="right" vertical="center"/>
    </xf>
    <xf numFmtId="0" fontId="82" fillId="0" borderId="10" xfId="0" applyFont="1" applyBorder="1" applyAlignment="1">
      <alignment vertical="center"/>
    </xf>
    <xf numFmtId="167" fontId="25" fillId="0" borderId="11" xfId="0" applyNumberFormat="1" applyFont="1" applyBorder="1" applyAlignment="1">
      <alignment vertical="center"/>
    </xf>
    <xf numFmtId="0" fontId="82" fillId="0" borderId="21" xfId="0" applyFont="1" applyBorder="1" applyAlignment="1">
      <alignment vertical="center"/>
    </xf>
    <xf numFmtId="0" fontId="82" fillId="0" borderId="22" xfId="0" applyFont="1" applyBorder="1" applyAlignment="1">
      <alignment vertical="center"/>
    </xf>
    <xf numFmtId="167" fontId="82" fillId="0" borderId="22" xfId="28" applyFont="1" applyBorder="1" applyAlignment="1">
      <alignment horizontal="center" vertical="center"/>
    </xf>
    <xf numFmtId="0" fontId="82" fillId="0" borderId="22" xfId="0" applyFont="1" applyBorder="1" applyAlignment="1">
      <alignment horizontal="center" vertical="center"/>
    </xf>
    <xf numFmtId="167" fontId="82" fillId="0" borderId="22" xfId="28" applyFont="1" applyBorder="1" applyAlignment="1">
      <alignment horizontal="right" vertical="center"/>
    </xf>
    <xf numFmtId="0" fontId="82" fillId="0" borderId="24" xfId="0" applyFont="1" applyBorder="1" applyAlignment="1">
      <alignment vertical="center"/>
    </xf>
    <xf numFmtId="167" fontId="25" fillId="0" borderId="25" xfId="0" applyNumberFormat="1" applyFont="1" applyBorder="1" applyAlignment="1">
      <alignment vertical="center"/>
    </xf>
    <xf numFmtId="4" fontId="63" fillId="0" borderId="0" xfId="0" applyNumberFormat="1" applyFont="1" applyBorder="1"/>
    <xf numFmtId="4" fontId="19" fillId="0" borderId="0" xfId="0" applyNumberFormat="1" applyFont="1"/>
    <xf numFmtId="2" fontId="0" fillId="0" borderId="0" xfId="0" applyNumberFormat="1"/>
    <xf numFmtId="0" fontId="82" fillId="0" borderId="40" xfId="0" applyFont="1" applyBorder="1" applyAlignment="1">
      <alignment horizontal="right"/>
    </xf>
    <xf numFmtId="0" fontId="33" fillId="0" borderId="29" xfId="0" applyFont="1" applyBorder="1" applyAlignment="1">
      <alignment horizontal="center"/>
    </xf>
    <xf numFmtId="0" fontId="33" fillId="0" borderId="12" xfId="0" applyFont="1" applyBorder="1" applyAlignment="1">
      <alignment horizontal="center"/>
    </xf>
    <xf numFmtId="0" fontId="108" fillId="0" borderId="29" xfId="0" applyFont="1" applyBorder="1"/>
    <xf numFmtId="167" fontId="104" fillId="0" borderId="29" xfId="28" applyFont="1" applyBorder="1"/>
    <xf numFmtId="0" fontId="104" fillId="0" borderId="29" xfId="0" applyFont="1" applyBorder="1"/>
    <xf numFmtId="167" fontId="33" fillId="0" borderId="29" xfId="0" applyNumberFormat="1" applyFont="1" applyBorder="1"/>
    <xf numFmtId="167" fontId="104" fillId="0" borderId="29" xfId="0" applyNumberFormat="1" applyFont="1" applyBorder="1"/>
    <xf numFmtId="0" fontId="33" fillId="0" borderId="15" xfId="0" applyFont="1" applyBorder="1" applyAlignment="1">
      <alignment horizontal="center"/>
    </xf>
    <xf numFmtId="0" fontId="104" fillId="0" borderId="15" xfId="0" applyFont="1" applyBorder="1"/>
    <xf numFmtId="177" fontId="104" fillId="0" borderId="15" xfId="28" applyNumberFormat="1" applyFont="1" applyBorder="1" applyAlignment="1">
      <alignment horizontal="center"/>
    </xf>
    <xf numFmtId="0" fontId="104" fillId="0" borderId="15" xfId="0" applyFont="1" applyBorder="1" applyAlignment="1">
      <alignment horizontal="center"/>
    </xf>
    <xf numFmtId="43" fontId="104" fillId="0" borderId="15" xfId="28" applyNumberFormat="1" applyFont="1" applyBorder="1" applyAlignment="1">
      <alignment horizontal="center"/>
    </xf>
    <xf numFmtId="167" fontId="104" fillId="0" borderId="15" xfId="0" applyNumberFormat="1" applyFont="1" applyBorder="1" applyAlignment="1"/>
    <xf numFmtId="0" fontId="104" fillId="0" borderId="15" xfId="0" quotePrefix="1" applyFont="1" applyBorder="1"/>
    <xf numFmtId="167" fontId="104" fillId="0" borderId="15" xfId="0" applyNumberFormat="1" applyFont="1" applyBorder="1" applyAlignment="1">
      <alignment horizontal="center"/>
    </xf>
    <xf numFmtId="167" fontId="33" fillId="0" borderId="15" xfId="0" applyNumberFormat="1" applyFont="1" applyBorder="1" applyAlignment="1"/>
    <xf numFmtId="0" fontId="104" fillId="0" borderId="15" xfId="0" applyFont="1" applyBorder="1" applyAlignment="1">
      <alignment horizontal="right"/>
    </xf>
    <xf numFmtId="0" fontId="104" fillId="0" borderId="15" xfId="0" applyFont="1" applyBorder="1" applyAlignment="1"/>
    <xf numFmtId="43" fontId="104" fillId="0" borderId="15" xfId="28" applyNumberFormat="1" applyFont="1" applyBorder="1" applyAlignment="1">
      <alignment horizontal="right"/>
    </xf>
    <xf numFmtId="167" fontId="104" fillId="0" borderId="15" xfId="0" applyNumberFormat="1" applyFont="1" applyBorder="1"/>
    <xf numFmtId="0" fontId="104" fillId="0" borderId="31" xfId="0" applyFont="1" applyBorder="1" applyAlignment="1">
      <alignment horizontal="right"/>
    </xf>
    <xf numFmtId="0" fontId="104" fillId="0" borderId="28" xfId="0" applyFont="1" applyBorder="1"/>
    <xf numFmtId="43" fontId="104" fillId="0" borderId="28" xfId="28" applyNumberFormat="1" applyFont="1" applyBorder="1" applyAlignment="1">
      <alignment horizontal="right"/>
    </xf>
    <xf numFmtId="167" fontId="104" fillId="0" borderId="28" xfId="28" applyFont="1" applyBorder="1" applyAlignment="1">
      <alignment horizontal="left"/>
    </xf>
    <xf numFmtId="167" fontId="104" fillId="0" borderId="28" xfId="28" applyFont="1" applyBorder="1" applyAlignment="1">
      <alignment horizontal="right"/>
    </xf>
    <xf numFmtId="43" fontId="33" fillId="0" borderId="29" xfId="28" applyNumberFormat="1" applyFont="1" applyBorder="1" applyAlignment="1">
      <alignment horizontal="right"/>
    </xf>
    <xf numFmtId="167" fontId="33" fillId="0" borderId="15" xfId="0" applyNumberFormat="1" applyFont="1" applyBorder="1"/>
    <xf numFmtId="0" fontId="104" fillId="0" borderId="39" xfId="0" applyFont="1" applyBorder="1"/>
    <xf numFmtId="0" fontId="104" fillId="0" borderId="0" xfId="0" applyFont="1" applyBorder="1" applyAlignment="1"/>
    <xf numFmtId="167" fontId="104" fillId="0" borderId="0" xfId="28" applyFont="1" applyBorder="1" applyAlignment="1">
      <alignment horizontal="center"/>
    </xf>
    <xf numFmtId="0" fontId="104" fillId="0" borderId="0" xfId="0" applyFont="1" applyBorder="1" applyAlignment="1">
      <alignment horizontal="center"/>
    </xf>
    <xf numFmtId="167" fontId="104" fillId="0" borderId="0" xfId="28" applyFont="1" applyBorder="1" applyAlignment="1">
      <alignment horizontal="right"/>
    </xf>
    <xf numFmtId="167" fontId="109" fillId="0" borderId="15" xfId="0" applyNumberFormat="1" applyFont="1" applyBorder="1"/>
    <xf numFmtId="167" fontId="104" fillId="0" borderId="15" xfId="28" applyFont="1" applyBorder="1"/>
    <xf numFmtId="0" fontId="104" fillId="0" borderId="33" xfId="0" applyFont="1" applyBorder="1"/>
    <xf numFmtId="0" fontId="104" fillId="0" borderId="34" xfId="0" applyFont="1" applyBorder="1" applyAlignment="1"/>
    <xf numFmtId="167" fontId="104" fillId="0" borderId="34" xfId="28" applyFont="1" applyBorder="1" applyAlignment="1">
      <alignment horizontal="center"/>
    </xf>
    <xf numFmtId="0" fontId="104" fillId="0" borderId="34" xfId="0" applyFont="1" applyBorder="1" applyAlignment="1">
      <alignment horizontal="center"/>
    </xf>
    <xf numFmtId="167" fontId="104" fillId="0" borderId="34" xfId="28" applyFont="1" applyBorder="1" applyAlignment="1">
      <alignment horizontal="right"/>
    </xf>
    <xf numFmtId="167" fontId="101" fillId="0" borderId="12" xfId="0" applyNumberFormat="1" applyFont="1" applyBorder="1"/>
    <xf numFmtId="167" fontId="33" fillId="0" borderId="12" xfId="28" applyFont="1" applyBorder="1"/>
    <xf numFmtId="167" fontId="101" fillId="0" borderId="15" xfId="0" applyNumberFormat="1" applyFont="1" applyBorder="1"/>
    <xf numFmtId="167" fontId="33" fillId="0" borderId="15" xfId="28" applyFont="1" applyBorder="1"/>
    <xf numFmtId="167" fontId="110" fillId="0" borderId="31" xfId="28" applyFont="1" applyBorder="1" applyAlignment="1">
      <alignment vertical="center"/>
    </xf>
    <xf numFmtId="167" fontId="110" fillId="0" borderId="28" xfId="28" applyFont="1" applyBorder="1" applyAlignment="1">
      <alignment vertical="center"/>
    </xf>
    <xf numFmtId="167" fontId="110" fillId="0" borderId="32" xfId="28" applyFont="1" applyBorder="1" applyAlignment="1">
      <alignment vertical="center"/>
    </xf>
    <xf numFmtId="0" fontId="33" fillId="0" borderId="29" xfId="0" applyFont="1" applyBorder="1"/>
    <xf numFmtId="167" fontId="110" fillId="0" borderId="33" xfId="28" applyFont="1" applyBorder="1" applyAlignment="1">
      <alignment vertical="center"/>
    </xf>
    <xf numFmtId="167" fontId="111" fillId="0" borderId="34" xfId="28" applyFont="1" applyBorder="1" applyAlignment="1">
      <alignment horizontal="center" vertical="center"/>
    </xf>
    <xf numFmtId="167" fontId="110" fillId="0" borderId="34" xfId="28" applyFont="1" applyBorder="1" applyAlignment="1">
      <alignment vertical="center"/>
    </xf>
    <xf numFmtId="167" fontId="110" fillId="0" borderId="35" xfId="28" applyFont="1" applyBorder="1" applyAlignment="1">
      <alignment vertical="center"/>
    </xf>
    <xf numFmtId="0" fontId="33" fillId="0" borderId="12" xfId="0" applyFont="1" applyBorder="1"/>
    <xf numFmtId="167" fontId="33" fillId="0" borderId="12" xfId="0" applyNumberFormat="1" applyFont="1" applyBorder="1"/>
    <xf numFmtId="0" fontId="104" fillId="0" borderId="0" xfId="0" applyFont="1" applyBorder="1"/>
    <xf numFmtId="167" fontId="33" fillId="0" borderId="0" xfId="0" applyNumberFormat="1" applyFont="1" applyBorder="1"/>
    <xf numFmtId="0" fontId="33" fillId="0" borderId="0" xfId="0" applyFont="1" applyBorder="1"/>
    <xf numFmtId="0" fontId="112" fillId="0" borderId="0" xfId="0" applyFont="1"/>
    <xf numFmtId="0" fontId="104" fillId="0" borderId="12" xfId="0" applyFont="1" applyBorder="1" applyAlignment="1"/>
    <xf numFmtId="0" fontId="104" fillId="0" borderId="12" xfId="0" applyFont="1" applyBorder="1"/>
    <xf numFmtId="167" fontId="104" fillId="0" borderId="12" xfId="28" applyFont="1" applyBorder="1" applyAlignment="1">
      <alignment horizontal="center"/>
    </xf>
    <xf numFmtId="0" fontId="104" fillId="0" borderId="12" xfId="0" applyFont="1" applyBorder="1" applyAlignment="1">
      <alignment horizontal="center"/>
    </xf>
    <xf numFmtId="167" fontId="104" fillId="0" borderId="12" xfId="28" applyNumberFormat="1" applyFont="1" applyBorder="1"/>
    <xf numFmtId="0" fontId="108" fillId="0" borderId="15" xfId="0" applyFont="1" applyBorder="1"/>
    <xf numFmtId="167" fontId="104" fillId="0" borderId="15" xfId="28" applyFont="1" applyBorder="1" applyAlignment="1">
      <alignment horizontal="center"/>
    </xf>
    <xf numFmtId="167" fontId="82" fillId="0" borderId="15" xfId="0" applyNumberFormat="1" applyFont="1" applyBorder="1" applyAlignment="1">
      <alignment vertical="center"/>
    </xf>
    <xf numFmtId="3" fontId="114" fillId="0" borderId="0" xfId="0" applyNumberFormat="1" applyFont="1" applyBorder="1" applyAlignment="1">
      <alignment horizontal="center" wrapText="1"/>
    </xf>
    <xf numFmtId="167" fontId="82" fillId="0" borderId="0" xfId="28" applyFont="1" applyBorder="1" applyAlignment="1">
      <alignment horizontal="center" vertical="center"/>
    </xf>
    <xf numFmtId="43" fontId="82" fillId="0" borderId="15" xfId="28" applyNumberFormat="1" applyFont="1" applyBorder="1" applyAlignment="1">
      <alignment horizontal="right" wrapText="1" indent="3"/>
    </xf>
    <xf numFmtId="43" fontId="82" fillId="0" borderId="15" xfId="28" applyNumberFormat="1" applyFont="1" applyBorder="1" applyAlignment="1">
      <alignment horizontal="left" vertical="center"/>
    </xf>
    <xf numFmtId="167" fontId="25" fillId="0" borderId="81" xfId="28" applyFont="1" applyBorder="1"/>
    <xf numFmtId="0" fontId="86" fillId="0" borderId="0" xfId="0" applyFont="1" applyAlignment="1">
      <alignment horizontal="center"/>
    </xf>
    <xf numFmtId="167" fontId="82" fillId="0" borderId="15" xfId="28" applyNumberFormat="1" applyFont="1" applyBorder="1" applyAlignment="1"/>
    <xf numFmtId="167" fontId="82" fillId="0" borderId="40" xfId="28" applyNumberFormat="1" applyFont="1" applyBorder="1" applyAlignment="1"/>
    <xf numFmtId="0" fontId="0" fillId="0" borderId="19" xfId="0" applyBorder="1" applyAlignment="1">
      <alignment vertical="center"/>
    </xf>
    <xf numFmtId="0" fontId="0" fillId="0" borderId="19" xfId="0" applyBorder="1" applyAlignment="1">
      <alignment horizontal="center" vertical="center" wrapText="1"/>
    </xf>
    <xf numFmtId="0" fontId="13" fillId="0" borderId="19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61" fillId="0" borderId="19" xfId="0" applyFont="1" applyBorder="1" applyAlignment="1">
      <alignment horizontal="center"/>
    </xf>
    <xf numFmtId="0" fontId="63" fillId="0" borderId="62" xfId="0" applyFont="1" applyBorder="1"/>
    <xf numFmtId="14" fontId="0" fillId="0" borderId="39" xfId="0" quotePrefix="1" applyNumberFormat="1" applyBorder="1" applyAlignment="1">
      <alignment horizontal="center"/>
    </xf>
    <xf numFmtId="0" fontId="63" fillId="0" borderId="25" xfId="0" applyFont="1" applyBorder="1" applyAlignment="1">
      <alignment vertical="center" wrapText="1"/>
    </xf>
    <xf numFmtId="0" fontId="0" fillId="0" borderId="66" xfId="0" applyBorder="1"/>
    <xf numFmtId="167" fontId="33" fillId="0" borderId="12" xfId="28" applyNumberFormat="1" applyFont="1" applyBorder="1"/>
    <xf numFmtId="0" fontId="0" fillId="0" borderId="22" xfId="0" applyBorder="1" applyAlignment="1">
      <alignment horizontal="left"/>
    </xf>
    <xf numFmtId="165" fontId="0" fillId="0" borderId="0" xfId="29" applyFont="1"/>
    <xf numFmtId="167" fontId="29" fillId="0" borderId="29" xfId="28" applyFont="1" applyBorder="1" applyAlignment="1">
      <alignment horizontal="center"/>
    </xf>
    <xf numFmtId="0" fontId="29" fillId="0" borderId="29" xfId="0" applyFont="1" applyBorder="1" applyAlignment="1">
      <alignment horizontal="center"/>
    </xf>
    <xf numFmtId="167" fontId="29" fillId="0" borderId="29" xfId="28" applyNumberFormat="1" applyFont="1" applyBorder="1"/>
    <xf numFmtId="167" fontId="29" fillId="0" borderId="15" xfId="28" quotePrefix="1" applyFont="1" applyBorder="1"/>
    <xf numFmtId="0" fontId="26" fillId="0" borderId="0" xfId="0" applyFont="1" applyAlignment="1">
      <alignment horizontal="center"/>
    </xf>
    <xf numFmtId="0" fontId="29" fillId="0" borderId="15" xfId="0" applyFont="1" applyBorder="1" applyAlignment="1">
      <alignment horizontal="center" vertical="top"/>
    </xf>
    <xf numFmtId="177" fontId="29" fillId="0" borderId="15" xfId="28" applyNumberFormat="1" applyFont="1" applyBorder="1" applyAlignment="1">
      <alignment horizontal="center" vertical="top"/>
    </xf>
    <xf numFmtId="43" fontId="29" fillId="0" borderId="15" xfId="28" applyNumberFormat="1" applyFont="1" applyBorder="1" applyAlignment="1">
      <alignment horizontal="center" vertical="top"/>
    </xf>
    <xf numFmtId="167" fontId="29" fillId="0" borderId="15" xfId="0" applyNumberFormat="1" applyFont="1" applyBorder="1" applyAlignment="1">
      <alignment vertical="top"/>
    </xf>
    <xf numFmtId="167" fontId="24" fillId="0" borderId="0" xfId="28" applyFont="1" applyAlignment="1">
      <alignment vertical="top"/>
    </xf>
    <xf numFmtId="0" fontId="29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6" fillId="0" borderId="29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5" fillId="0" borderId="29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82" fillId="0" borderId="0" xfId="0" applyFont="1" applyAlignment="1">
      <alignment horizontal="center"/>
    </xf>
    <xf numFmtId="0" fontId="8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77" fontId="116" fillId="0" borderId="15" xfId="28" applyNumberFormat="1" applyFont="1" applyBorder="1" applyAlignment="1">
      <alignment horizontal="center"/>
    </xf>
    <xf numFmtId="0" fontId="28" fillId="0" borderId="32" xfId="0" applyFont="1" applyBorder="1"/>
    <xf numFmtId="0" fontId="29" fillId="0" borderId="40" xfId="0" applyFont="1" applyBorder="1"/>
    <xf numFmtId="0" fontId="29" fillId="0" borderId="40" xfId="0" applyFont="1" applyBorder="1" applyAlignment="1"/>
    <xf numFmtId="0" fontId="28" fillId="0" borderId="31" xfId="0" applyFont="1" applyBorder="1"/>
    <xf numFmtId="0" fontId="29" fillId="0" borderId="33" xfId="0" applyFont="1" applyBorder="1" applyAlignment="1"/>
    <xf numFmtId="43" fontId="29" fillId="0" borderId="15" xfId="28" applyNumberFormat="1" applyFont="1" applyBorder="1" applyAlignment="1">
      <alignment horizontal="left" vertical="top"/>
    </xf>
    <xf numFmtId="167" fontId="29" fillId="0" borderId="15" xfId="0" applyNumberFormat="1" applyFont="1" applyBorder="1" applyAlignment="1">
      <alignment horizontal="left" vertical="top"/>
    </xf>
    <xf numFmtId="167" fontId="24" fillId="0" borderId="0" xfId="28" applyFont="1" applyAlignment="1">
      <alignment horizontal="left" vertical="top"/>
    </xf>
    <xf numFmtId="167" fontId="32" fillId="0" borderId="34" xfId="28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86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117" fillId="0" borderId="31" xfId="0" applyFont="1" applyBorder="1"/>
    <xf numFmtId="167" fontId="29" fillId="0" borderId="15" xfId="28" applyNumberFormat="1" applyFont="1" applyBorder="1" applyAlignment="1"/>
    <xf numFmtId="167" fontId="29" fillId="0" borderId="40" xfId="28" applyNumberFormat="1" applyFont="1" applyBorder="1" applyAlignment="1"/>
    <xf numFmtId="43" fontId="82" fillId="0" borderId="28" xfId="28" applyNumberFormat="1" applyFont="1" applyBorder="1" applyAlignment="1">
      <alignment horizontal="center"/>
    </xf>
    <xf numFmtId="167" fontId="91" fillId="0" borderId="28" xfId="28" applyFont="1" applyBorder="1" applyAlignment="1">
      <alignment horizontal="center" vertical="center"/>
    </xf>
    <xf numFmtId="167" fontId="91" fillId="0" borderId="34" xfId="28" applyFont="1" applyBorder="1" applyAlignment="1">
      <alignment horizontal="center" vertical="center"/>
    </xf>
    <xf numFmtId="43" fontId="29" fillId="0" borderId="28" xfId="28" applyNumberFormat="1" applyFont="1" applyBorder="1" applyAlignment="1">
      <alignment horizontal="center"/>
    </xf>
    <xf numFmtId="167" fontId="31" fillId="0" borderId="28" xfId="28" applyFont="1" applyBorder="1" applyAlignment="1">
      <alignment horizontal="center" vertical="center"/>
    </xf>
    <xf numFmtId="167" fontId="31" fillId="0" borderId="34" xfId="28" applyFont="1" applyBorder="1" applyAlignment="1">
      <alignment horizontal="center" vertical="center"/>
    </xf>
    <xf numFmtId="167" fontId="30" fillId="0" borderId="0" xfId="28" applyFont="1" applyAlignment="1">
      <alignment horizontal="center"/>
    </xf>
    <xf numFmtId="167" fontId="24" fillId="0" borderId="0" xfId="28" applyFont="1" applyAlignment="1">
      <alignment horizontal="center"/>
    </xf>
    <xf numFmtId="177" fontId="29" fillId="0" borderId="15" xfId="28" quotePrefix="1" applyNumberFormat="1" applyFont="1" applyBorder="1" applyAlignment="1">
      <alignment horizontal="center"/>
    </xf>
    <xf numFmtId="0" fontId="29" fillId="0" borderId="15" xfId="0" quotePrefix="1" applyFont="1" applyBorder="1" applyAlignment="1">
      <alignment horizontal="center"/>
    </xf>
    <xf numFmtId="167" fontId="30" fillId="0" borderId="0" xfId="28" applyFont="1" applyAlignment="1">
      <alignment vertical="top"/>
    </xf>
    <xf numFmtId="167" fontId="30" fillId="0" borderId="0" xfId="28" applyFont="1" applyAlignment="1">
      <alignment horizontal="left" vertical="top"/>
    </xf>
    <xf numFmtId="0" fontId="118" fillId="0" borderId="39" xfId="0" quotePrefix="1" applyFont="1" applyBorder="1"/>
    <xf numFmtId="0" fontId="119" fillId="0" borderId="15" xfId="0" quotePrefix="1" applyFont="1" applyBorder="1"/>
    <xf numFmtId="0" fontId="120" fillId="0" borderId="39" xfId="0" applyFont="1" applyBorder="1"/>
    <xf numFmtId="0" fontId="121" fillId="0" borderId="40" xfId="0" applyFont="1" applyBorder="1"/>
    <xf numFmtId="0" fontId="118" fillId="0" borderId="15" xfId="0" applyFont="1" applyBorder="1"/>
    <xf numFmtId="0" fontId="118" fillId="0" borderId="33" xfId="0" applyFont="1" applyBorder="1"/>
    <xf numFmtId="0" fontId="118" fillId="0" borderId="40" xfId="0" applyFont="1" applyBorder="1"/>
    <xf numFmtId="0" fontId="120" fillId="0" borderId="31" xfId="0" applyFont="1" applyBorder="1"/>
    <xf numFmtId="0" fontId="121" fillId="0" borderId="32" xfId="0" applyFont="1" applyBorder="1"/>
    <xf numFmtId="0" fontId="29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0" fillId="0" borderId="0" xfId="0" applyAlignment="1">
      <alignment horizontal="center" vertical="top"/>
    </xf>
    <xf numFmtId="0" fontId="59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60" fillId="0" borderId="0" xfId="0" applyFont="1" applyFill="1" applyAlignment="1">
      <alignment horizontal="centerContinuous" vertical="center"/>
    </xf>
    <xf numFmtId="0" fontId="0" fillId="0" borderId="0" xfId="0" applyFont="1" applyAlignment="1">
      <alignment horizontal="left" vertical="top"/>
    </xf>
    <xf numFmtId="0" fontId="63" fillId="0" borderId="0" xfId="0" applyFont="1" applyAlignment="1">
      <alignment horizontal="center" vertical="top"/>
    </xf>
    <xf numFmtId="0" fontId="63" fillId="0" borderId="0" xfId="0" applyFont="1" applyAlignment="1">
      <alignment horizontal="left" vertical="top"/>
    </xf>
    <xf numFmtId="0" fontId="19" fillId="0" borderId="36" xfId="0" applyFont="1" applyBorder="1" applyAlignment="1">
      <alignment horizontal="center"/>
    </xf>
    <xf numFmtId="2" fontId="0" fillId="0" borderId="36" xfId="0" applyNumberFormat="1" applyBorder="1"/>
    <xf numFmtId="0" fontId="19" fillId="0" borderId="78" xfId="0" applyFont="1" applyBorder="1" applyAlignment="1">
      <alignment horizontal="centerContinuous"/>
    </xf>
    <xf numFmtId="0" fontId="0" fillId="0" borderId="79" xfId="0" applyBorder="1" applyAlignment="1">
      <alignment horizontal="centerContinuous"/>
    </xf>
    <xf numFmtId="0" fontId="0" fillId="0" borderId="62" xfId="0" applyBorder="1" applyAlignment="1">
      <alignment horizontal="centerContinuous"/>
    </xf>
    <xf numFmtId="0" fontId="63" fillId="0" borderId="33" xfId="0" applyFont="1" applyBorder="1"/>
    <xf numFmtId="0" fontId="0" fillId="0" borderId="35" xfId="0" applyBorder="1"/>
    <xf numFmtId="0" fontId="63" fillId="0" borderId="78" xfId="0" applyFont="1" applyBorder="1"/>
    <xf numFmtId="0" fontId="122" fillId="0" borderId="0" xfId="0" applyFont="1"/>
    <xf numFmtId="1" fontId="0" fillId="0" borderId="36" xfId="0" applyNumberFormat="1" applyBorder="1"/>
    <xf numFmtId="0" fontId="63" fillId="0" borderId="79" xfId="0" applyFont="1" applyBorder="1"/>
    <xf numFmtId="0" fontId="0" fillId="0" borderId="79" xfId="0" applyBorder="1"/>
    <xf numFmtId="0" fontId="0" fillId="0" borderId="34" xfId="0" applyBorder="1"/>
    <xf numFmtId="0" fontId="19" fillId="0" borderId="79" xfId="0" applyFont="1" applyBorder="1" applyAlignment="1">
      <alignment horizontal="centerContinuous"/>
    </xf>
    <xf numFmtId="0" fontId="123" fillId="0" borderId="79" xfId="0" applyFont="1" applyBorder="1" applyAlignment="1">
      <alignment horizontal="left"/>
    </xf>
    <xf numFmtId="0" fontId="19" fillId="0" borderId="36" xfId="0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77" fontId="116" fillId="0" borderId="15" xfId="28" applyNumberFormat="1" applyFont="1" applyBorder="1" applyAlignment="1">
      <alignment horizontal="center" vertical="top"/>
    </xf>
    <xf numFmtId="0" fontId="29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19" fillId="0" borderId="62" xfId="0" applyFont="1" applyBorder="1" applyAlignment="1">
      <alignment horizontal="center"/>
    </xf>
    <xf numFmtId="0" fontId="19" fillId="0" borderId="29" xfId="0" applyFont="1" applyFill="1" applyBorder="1" applyAlignment="1">
      <alignment horizontal="center"/>
    </xf>
    <xf numFmtId="0" fontId="19" fillId="0" borderId="12" xfId="0" applyFont="1" applyFill="1" applyBorder="1" applyAlignment="1">
      <alignment horizontal="center"/>
    </xf>
    <xf numFmtId="192" fontId="0" fillId="0" borderId="36" xfId="29" applyNumberFormat="1" applyFont="1" applyBorder="1"/>
    <xf numFmtId="165" fontId="0" fillId="0" borderId="36" xfId="29" applyNumberFormat="1" applyFont="1" applyBorder="1"/>
    <xf numFmtId="165" fontId="19" fillId="0" borderId="36" xfId="0" applyNumberFormat="1" applyFont="1" applyBorder="1"/>
    <xf numFmtId="193" fontId="122" fillId="0" borderId="0" xfId="0" applyNumberFormat="1" applyFont="1" applyAlignment="1">
      <alignment horizontal="center"/>
    </xf>
    <xf numFmtId="194" fontId="0" fillId="0" borderId="0" xfId="0" applyNumberFormat="1" applyAlignment="1">
      <alignment horizontal="center"/>
    </xf>
    <xf numFmtId="192" fontId="19" fillId="0" borderId="36" xfId="0" applyNumberFormat="1" applyFont="1" applyBorder="1"/>
    <xf numFmtId="195" fontId="0" fillId="0" borderId="0" xfId="0" applyNumberFormat="1" applyAlignment="1">
      <alignment horizontal="center"/>
    </xf>
    <xf numFmtId="0" fontId="26" fillId="0" borderId="32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101" fillId="0" borderId="0" xfId="28" applyFont="1" applyAlignment="1">
      <alignment vertical="top"/>
    </xf>
    <xf numFmtId="0" fontId="29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5" fontId="0" fillId="0" borderId="0" xfId="0" applyNumberFormat="1"/>
    <xf numFmtId="0" fontId="19" fillId="0" borderId="39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165" fontId="0" fillId="0" borderId="0" xfId="29" applyNumberFormat="1" applyFont="1" applyBorder="1"/>
    <xf numFmtId="0" fontId="118" fillId="0" borderId="39" xfId="0" applyFont="1" applyBorder="1"/>
    <xf numFmtId="0" fontId="0" fillId="0" borderId="29" xfId="0" applyBorder="1" applyAlignment="1">
      <alignment horizontal="center"/>
    </xf>
    <xf numFmtId="165" fontId="19" fillId="0" borderId="78" xfId="0" applyNumberFormat="1" applyFont="1" applyBorder="1"/>
    <xf numFmtId="165" fontId="0" fillId="0" borderId="36" xfId="0" applyNumberFormat="1" applyBorder="1"/>
    <xf numFmtId="165" fontId="19" fillId="0" borderId="36" xfId="0" applyNumberFormat="1" applyFont="1" applyFill="1" applyBorder="1"/>
    <xf numFmtId="0" fontId="0" fillId="0" borderId="29" xfId="0" applyBorder="1"/>
    <xf numFmtId="0" fontId="0" fillId="0" borderId="36" xfId="0" applyFill="1" applyBorder="1"/>
    <xf numFmtId="0" fontId="19" fillId="0" borderId="29" xfId="0" applyFont="1" applyBorder="1" applyAlignment="1">
      <alignment horizontal="center"/>
    </xf>
    <xf numFmtId="0" fontId="63" fillId="0" borderId="29" xfId="0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5" fontId="19" fillId="0" borderId="0" xfId="29" applyNumberFormat="1" applyFont="1" applyBorder="1"/>
    <xf numFmtId="0" fontId="29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5" fontId="126" fillId="25" borderId="0" xfId="45" applyFont="1" applyFill="1"/>
    <xf numFmtId="0" fontId="1" fillId="25" borderId="0" xfId="46" applyFont="1" applyFill="1"/>
    <xf numFmtId="165" fontId="1" fillId="25" borderId="0" xfId="29" applyFont="1" applyFill="1"/>
    <xf numFmtId="0" fontId="126" fillId="25" borderId="0" xfId="46" applyFont="1" applyFill="1"/>
    <xf numFmtId="165" fontId="1" fillId="25" borderId="0" xfId="46" applyNumberFormat="1" applyFont="1" applyFill="1"/>
    <xf numFmtId="0" fontId="19" fillId="0" borderId="78" xfId="0" applyFont="1" applyFill="1" applyBorder="1" applyAlignment="1">
      <alignment horizontal="center"/>
    </xf>
    <xf numFmtId="0" fontId="19" fillId="0" borderId="79" xfId="0" applyFont="1" applyFill="1" applyBorder="1" applyAlignment="1">
      <alignment horizontal="center"/>
    </xf>
    <xf numFmtId="0" fontId="19" fillId="0" borderId="62" xfId="0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0" fontId="29" fillId="0" borderId="39" xfId="0" applyFont="1" applyBorder="1" applyAlignment="1">
      <alignment horizontal="left" vertical="top" wrapText="1"/>
    </xf>
    <xf numFmtId="0" fontId="29" fillId="0" borderId="40" xfId="0" applyFont="1" applyBorder="1" applyAlignment="1">
      <alignment horizontal="left" vertical="top" wrapText="1"/>
    </xf>
    <xf numFmtId="0" fontId="28" fillId="0" borderId="0" xfId="0" applyFont="1" applyAlignment="1">
      <alignment horizontal="center"/>
    </xf>
    <xf numFmtId="0" fontId="69" fillId="0" borderId="0" xfId="0" applyFont="1" applyAlignment="1">
      <alignment horizontal="center"/>
    </xf>
    <xf numFmtId="0" fontId="33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/>
    </xf>
    <xf numFmtId="0" fontId="26" fillId="0" borderId="29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6" fillId="0" borderId="31" xfId="0" applyFont="1" applyBorder="1" applyAlignment="1">
      <alignment horizontal="center" vertical="center"/>
    </xf>
    <xf numFmtId="0" fontId="26" fillId="0" borderId="32" xfId="0" applyFont="1" applyBorder="1" applyAlignment="1">
      <alignment horizontal="center" vertical="center"/>
    </xf>
    <xf numFmtId="0" fontId="26" fillId="0" borderId="33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125" fillId="0" borderId="39" xfId="44" applyFont="1" applyFill="1" applyBorder="1" applyAlignment="1">
      <alignment horizontal="left" vertical="top" wrapText="1"/>
    </xf>
    <xf numFmtId="0" fontId="125" fillId="0" borderId="40" xfId="44" applyFont="1" applyFill="1" applyBorder="1" applyAlignment="1">
      <alignment horizontal="left" vertical="top" wrapText="1"/>
    </xf>
    <xf numFmtId="0" fontId="105" fillId="0" borderId="0" xfId="0" applyFont="1" applyAlignment="1">
      <alignment horizontal="center"/>
    </xf>
    <xf numFmtId="0" fontId="67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/>
    </xf>
    <xf numFmtId="0" fontId="118" fillId="0" borderId="39" xfId="0" applyFont="1" applyBorder="1" applyAlignment="1">
      <alignment horizontal="left" vertical="top" wrapText="1"/>
    </xf>
    <xf numFmtId="0" fontId="118" fillId="0" borderId="40" xfId="0" applyFont="1" applyBorder="1" applyAlignment="1">
      <alignment horizontal="left" vertical="top" wrapText="1"/>
    </xf>
    <xf numFmtId="0" fontId="86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0" fontId="25" fillId="0" borderId="29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167" fontId="82" fillId="0" borderId="39" xfId="28" applyNumberFormat="1" applyFont="1" applyBorder="1" applyAlignment="1">
      <alignment horizontal="center"/>
    </xf>
    <xf numFmtId="167" fontId="82" fillId="0" borderId="40" xfId="28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0" fontId="68" fillId="0" borderId="0" xfId="0" applyFont="1" applyAlignment="1">
      <alignment horizontal="center"/>
    </xf>
    <xf numFmtId="0" fontId="75" fillId="0" borderId="0" xfId="0" applyFont="1" applyAlignment="1">
      <alignment horizontal="center"/>
    </xf>
    <xf numFmtId="0" fontId="26" fillId="0" borderId="60" xfId="0" applyFont="1" applyBorder="1" applyAlignment="1">
      <alignment horizontal="center" vertical="center"/>
    </xf>
    <xf numFmtId="0" fontId="26" fillId="0" borderId="69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75" fillId="0" borderId="0" xfId="0" applyFont="1" applyAlignment="1">
      <alignment horizontal="center" vertical="center" wrapText="1"/>
    </xf>
    <xf numFmtId="0" fontId="33" fillId="0" borderId="29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104" fillId="0" borderId="0" xfId="0" applyFont="1" applyAlignment="1">
      <alignment horizontal="center"/>
    </xf>
    <xf numFmtId="0" fontId="25" fillId="0" borderId="10" xfId="0" applyFont="1" applyBorder="1" applyAlignment="1">
      <alignment horizontal="center" vertical="center"/>
    </xf>
    <xf numFmtId="0" fontId="82" fillId="0" borderId="39" xfId="0" applyFont="1" applyBorder="1" applyAlignment="1">
      <alignment horizontal="center" vertical="center"/>
    </xf>
    <xf numFmtId="0" fontId="82" fillId="0" borderId="0" xfId="0" applyFont="1" applyBorder="1" applyAlignment="1">
      <alignment horizontal="center" vertical="center"/>
    </xf>
    <xf numFmtId="0" fontId="82" fillId="0" borderId="40" xfId="0" applyFont="1" applyBorder="1" applyAlignment="1">
      <alignment horizontal="center" vertical="center"/>
    </xf>
    <xf numFmtId="0" fontId="108" fillId="0" borderId="0" xfId="0" applyFont="1" applyAlignment="1">
      <alignment horizontal="center"/>
    </xf>
    <xf numFmtId="0" fontId="25" fillId="0" borderId="60" xfId="0" applyFont="1" applyBorder="1" applyAlignment="1">
      <alignment horizontal="center" vertical="center"/>
    </xf>
    <xf numFmtId="0" fontId="25" fillId="0" borderId="69" xfId="0" applyFont="1" applyBorder="1" applyAlignment="1">
      <alignment horizontal="center" vertical="center"/>
    </xf>
    <xf numFmtId="0" fontId="93" fillId="0" borderId="0" xfId="0" applyFont="1" applyAlignment="1">
      <alignment horizontal="center"/>
    </xf>
    <xf numFmtId="167" fontId="107" fillId="0" borderId="0" xfId="28" applyFont="1" applyAlignment="1">
      <alignment horizontal="center"/>
    </xf>
    <xf numFmtId="0" fontId="25" fillId="0" borderId="41" xfId="0" applyFont="1" applyBorder="1" applyAlignment="1">
      <alignment horizontal="center" vertical="center"/>
    </xf>
    <xf numFmtId="0" fontId="25" fillId="0" borderId="49" xfId="0" applyFont="1" applyBorder="1" applyAlignment="1">
      <alignment horizontal="center" vertical="center"/>
    </xf>
    <xf numFmtId="0" fontId="25" fillId="0" borderId="75" xfId="0" applyFont="1" applyBorder="1" applyAlignment="1">
      <alignment horizontal="center" vertical="center"/>
    </xf>
    <xf numFmtId="0" fontId="25" fillId="0" borderId="48" xfId="0" applyFont="1" applyBorder="1" applyAlignment="1">
      <alignment horizontal="center" vertical="center"/>
    </xf>
    <xf numFmtId="0" fontId="96" fillId="0" borderId="0" xfId="0" applyFont="1" applyAlignment="1">
      <alignment horizontal="center"/>
    </xf>
    <xf numFmtId="0" fontId="99" fillId="0" borderId="0" xfId="0" applyFont="1" applyAlignment="1">
      <alignment horizontal="center"/>
    </xf>
    <xf numFmtId="0" fontId="88" fillId="0" borderId="29" xfId="0" applyFont="1" applyBorder="1" applyAlignment="1">
      <alignment horizontal="center" vertical="center"/>
    </xf>
    <xf numFmtId="0" fontId="88" fillId="0" borderId="12" xfId="0" applyFont="1" applyBorder="1" applyAlignment="1">
      <alignment horizontal="center" vertical="center"/>
    </xf>
    <xf numFmtId="0" fontId="100" fillId="0" borderId="0" xfId="0" applyFont="1" applyAlignment="1">
      <alignment horizontal="center"/>
    </xf>
    <xf numFmtId="0" fontId="95" fillId="0" borderId="33" xfId="0" applyFont="1" applyBorder="1" applyAlignment="1">
      <alignment horizontal="right"/>
    </xf>
    <xf numFmtId="0" fontId="95" fillId="0" borderId="35" xfId="0" applyFont="1" applyBorder="1" applyAlignment="1">
      <alignment horizontal="right"/>
    </xf>
    <xf numFmtId="0" fontId="95" fillId="0" borderId="31" xfId="0" applyFont="1" applyBorder="1" applyAlignment="1">
      <alignment horizontal="right"/>
    </xf>
    <xf numFmtId="0" fontId="95" fillId="0" borderId="32" xfId="0" applyFont="1" applyBorder="1" applyAlignment="1">
      <alignment horizontal="right"/>
    </xf>
    <xf numFmtId="167" fontId="90" fillId="0" borderId="0" xfId="28" applyFont="1" applyAlignment="1">
      <alignment horizontal="center"/>
    </xf>
    <xf numFmtId="0" fontId="95" fillId="0" borderId="39" xfId="0" applyFont="1" applyBorder="1" applyAlignment="1">
      <alignment horizontal="right"/>
    </xf>
    <xf numFmtId="0" fontId="95" fillId="0" borderId="40" xfId="0" applyFont="1" applyBorder="1" applyAlignment="1">
      <alignment horizontal="right"/>
    </xf>
    <xf numFmtId="167" fontId="25" fillId="0" borderId="39" xfId="0" applyNumberFormat="1" applyFont="1" applyBorder="1" applyAlignment="1">
      <alignment horizontal="right"/>
    </xf>
    <xf numFmtId="167" fontId="25" fillId="0" borderId="40" xfId="0" applyNumberFormat="1" applyFont="1" applyBorder="1" applyAlignment="1">
      <alignment horizontal="right"/>
    </xf>
    <xf numFmtId="43" fontId="25" fillId="0" borderId="0" xfId="28" applyNumberFormat="1" applyFont="1" applyBorder="1" applyAlignment="1">
      <alignment horizontal="right"/>
    </xf>
    <xf numFmtId="43" fontId="25" fillId="0" borderId="40" xfId="28" applyNumberFormat="1" applyFont="1" applyBorder="1" applyAlignment="1">
      <alignment horizontal="right"/>
    </xf>
    <xf numFmtId="167" fontId="59" fillId="0" borderId="34" xfId="0" applyNumberFormat="1" applyFont="1" applyBorder="1" applyAlignment="1">
      <alignment horizontal="center"/>
    </xf>
    <xf numFmtId="167" fontId="59" fillId="0" borderId="35" xfId="0" applyNumberFormat="1" applyFont="1" applyBorder="1" applyAlignment="1">
      <alignment horizontal="center"/>
    </xf>
    <xf numFmtId="0" fontId="105" fillId="0" borderId="0" xfId="0" applyFont="1" applyAlignment="1">
      <alignment horizontal="center" vertical="center" wrapText="1"/>
    </xf>
    <xf numFmtId="0" fontId="85" fillId="0" borderId="0" xfId="0" applyFont="1" applyAlignment="1">
      <alignment horizontal="center"/>
    </xf>
    <xf numFmtId="0" fontId="84" fillId="0" borderId="0" xfId="0" applyFont="1" applyAlignment="1">
      <alignment horizontal="center"/>
    </xf>
    <xf numFmtId="0" fontId="83" fillId="0" borderId="60" xfId="0" applyFont="1" applyBorder="1" applyAlignment="1">
      <alignment horizontal="center" vertical="center"/>
    </xf>
    <xf numFmtId="0" fontId="83" fillId="0" borderId="69" xfId="0" applyFont="1" applyBorder="1" applyAlignment="1">
      <alignment horizontal="center" vertical="center"/>
    </xf>
    <xf numFmtId="0" fontId="83" fillId="0" borderId="10" xfId="0" applyFont="1" applyBorder="1" applyAlignment="1">
      <alignment horizontal="center" vertical="center"/>
    </xf>
    <xf numFmtId="0" fontId="83" fillId="0" borderId="12" xfId="0" applyFont="1" applyBorder="1" applyAlignment="1">
      <alignment horizontal="center" vertical="center"/>
    </xf>
    <xf numFmtId="0" fontId="64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27" fillId="0" borderId="60" xfId="0" applyFont="1" applyBorder="1" applyAlignment="1">
      <alignment horizontal="center" vertical="center"/>
    </xf>
    <xf numFmtId="0" fontId="27" fillId="0" borderId="69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3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9" fillId="0" borderId="29" xfId="0" applyFont="1" applyBorder="1" applyAlignment="1">
      <alignment horizontal="center" vertical="center"/>
    </xf>
    <xf numFmtId="0" fontId="49" fillId="0" borderId="12" xfId="0" applyFont="1" applyBorder="1" applyAlignment="1">
      <alignment horizontal="center" vertical="center"/>
    </xf>
    <xf numFmtId="0" fontId="27" fillId="0" borderId="29" xfId="0" applyFont="1" applyBorder="1" applyAlignment="1">
      <alignment horizontal="center" vertical="center"/>
    </xf>
    <xf numFmtId="167" fontId="27" fillId="0" borderId="15" xfId="28" applyNumberFormat="1" applyFont="1" applyBorder="1" applyAlignment="1">
      <alignment horizontal="center" vertical="center"/>
    </xf>
    <xf numFmtId="0" fontId="35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44" fillId="0" borderId="29" xfId="0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164" fontId="27" fillId="24" borderId="36" xfId="0" applyNumberFormat="1" applyFont="1" applyFill="1" applyBorder="1" applyAlignment="1">
      <alignment horizontal="center" vertical="center"/>
    </xf>
    <xf numFmtId="167" fontId="27" fillId="0" borderId="36" xfId="0" applyNumberFormat="1" applyFont="1" applyBorder="1" applyAlignment="1">
      <alignment horizontal="center"/>
    </xf>
    <xf numFmtId="167" fontId="27" fillId="0" borderId="82" xfId="0" applyNumberFormat="1" applyFont="1" applyBorder="1" applyAlignment="1">
      <alignment horizontal="center"/>
    </xf>
    <xf numFmtId="167" fontId="27" fillId="0" borderId="65" xfId="0" applyNumberFormat="1" applyFont="1" applyBorder="1" applyAlignment="1">
      <alignment horizontal="center"/>
    </xf>
    <xf numFmtId="0" fontId="39" fillId="0" borderId="10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167" fontId="5" fillId="0" borderId="18" xfId="28" applyFont="1" applyBorder="1" applyAlignment="1">
      <alignment horizontal="right"/>
    </xf>
    <xf numFmtId="167" fontId="5" fillId="0" borderId="20" xfId="28" applyFont="1" applyBorder="1" applyAlignment="1">
      <alignment horizontal="right"/>
    </xf>
    <xf numFmtId="167" fontId="38" fillId="0" borderId="22" xfId="28" applyFont="1" applyBorder="1" applyAlignment="1">
      <alignment horizontal="left" vertical="center"/>
    </xf>
    <xf numFmtId="0" fontId="49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39" fillId="0" borderId="60" xfId="0" applyFont="1" applyBorder="1" applyAlignment="1">
      <alignment horizontal="center" vertical="center"/>
    </xf>
    <xf numFmtId="0" fontId="39" fillId="0" borderId="69" xfId="0" applyFont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68" fillId="0" borderId="0" xfId="0" applyFont="1" applyAlignment="1">
      <alignment horizontal="left"/>
    </xf>
    <xf numFmtId="0" fontId="75" fillId="0" borderId="0" xfId="0" applyFont="1" applyAlignment="1">
      <alignment horizontal="right"/>
    </xf>
    <xf numFmtId="0" fontId="59" fillId="0" borderId="0" xfId="0" applyFont="1" applyAlignment="1">
      <alignment horizontal="center"/>
    </xf>
    <xf numFmtId="0" fontId="60" fillId="0" borderId="0" xfId="0" applyFont="1" applyFill="1" applyAlignment="1">
      <alignment horizontal="center" vertical="center"/>
    </xf>
    <xf numFmtId="3" fontId="63" fillId="0" borderId="0" xfId="0" applyNumberFormat="1" applyFont="1" applyAlignment="1">
      <alignment horizontal="left"/>
    </xf>
    <xf numFmtId="3" fontId="0" fillId="0" borderId="0" xfId="0" applyNumberFormat="1" applyAlignment="1">
      <alignment horizontal="left"/>
    </xf>
    <xf numFmtId="3" fontId="63" fillId="0" borderId="34" xfId="0" applyNumberFormat="1" applyFont="1" applyBorder="1" applyAlignment="1">
      <alignment horizontal="left"/>
    </xf>
    <xf numFmtId="3" fontId="0" fillId="0" borderId="34" xfId="0" applyNumberFormat="1" applyBorder="1" applyAlignment="1">
      <alignment horizontal="left"/>
    </xf>
    <xf numFmtId="3" fontId="19" fillId="0" borderId="0" xfId="0" applyNumberFormat="1" applyFont="1" applyAlignment="1">
      <alignment horizontal="left"/>
    </xf>
    <xf numFmtId="38" fontId="19" fillId="0" borderId="0" xfId="0" applyNumberFormat="1" applyFont="1" applyFill="1" applyBorder="1" applyAlignment="1">
      <alignment horizontal="left"/>
    </xf>
    <xf numFmtId="38" fontId="63" fillId="0" borderId="0" xfId="0" applyNumberFormat="1" applyFont="1" applyFill="1" applyBorder="1" applyAlignment="1">
      <alignment horizontal="left"/>
    </xf>
    <xf numFmtId="3" fontId="71" fillId="0" borderId="0" xfId="0" applyNumberFormat="1" applyFont="1" applyAlignment="1">
      <alignment horizontal="left"/>
    </xf>
    <xf numFmtId="38" fontId="63" fillId="0" borderId="0" xfId="0" applyNumberFormat="1" applyFont="1" applyFill="1" applyAlignment="1">
      <alignment horizontal="left"/>
    </xf>
    <xf numFmtId="38" fontId="0" fillId="0" borderId="0" xfId="0" applyNumberFormat="1" applyFont="1" applyFill="1" applyAlignment="1">
      <alignment horizontal="left"/>
    </xf>
    <xf numFmtId="3" fontId="19" fillId="0" borderId="18" xfId="0" applyNumberFormat="1" applyFont="1" applyBorder="1" applyAlignment="1">
      <alignment horizontal="left"/>
    </xf>
    <xf numFmtId="4" fontId="71" fillId="0" borderId="0" xfId="0" applyNumberFormat="1" applyFont="1" applyAlignment="1">
      <alignment horizontal="left"/>
    </xf>
    <xf numFmtId="38" fontId="71" fillId="0" borderId="0" xfId="0" applyNumberFormat="1" applyFont="1" applyFill="1" applyBorder="1" applyAlignment="1">
      <alignment horizontal="right"/>
    </xf>
    <xf numFmtId="38" fontId="19" fillId="0" borderId="0" xfId="0" applyNumberFormat="1" applyFont="1" applyFill="1" applyAlignment="1">
      <alignment horizontal="left"/>
    </xf>
    <xf numFmtId="38" fontId="71" fillId="0" borderId="0" xfId="0" applyNumberFormat="1" applyFont="1" applyFill="1" applyAlignment="1">
      <alignment horizontal="left"/>
    </xf>
    <xf numFmtId="38" fontId="71" fillId="0" borderId="0" xfId="0" applyNumberFormat="1" applyFont="1" applyFill="1" applyAlignment="1">
      <alignment horizontal="right"/>
    </xf>
    <xf numFmtId="38" fontId="63" fillId="0" borderId="18" xfId="0" applyNumberFormat="1" applyFont="1" applyFill="1" applyBorder="1" applyAlignment="1">
      <alignment horizontal="left"/>
    </xf>
    <xf numFmtId="38" fontId="71" fillId="0" borderId="18" xfId="0" applyNumberFormat="1" applyFont="1" applyFill="1" applyBorder="1" applyAlignment="1">
      <alignment horizontal="left"/>
    </xf>
    <xf numFmtId="38" fontId="71" fillId="0" borderId="22" xfId="0" applyNumberFormat="1" applyFont="1" applyFill="1" applyBorder="1" applyAlignment="1">
      <alignment horizontal="right"/>
    </xf>
    <xf numFmtId="0" fontId="70" fillId="0" borderId="0" xfId="0" applyFont="1" applyFill="1" applyAlignment="1">
      <alignment horizontal="center" vertical="center"/>
    </xf>
    <xf numFmtId="38" fontId="72" fillId="0" borderId="18" xfId="0" applyNumberFormat="1" applyFont="1" applyFill="1" applyBorder="1" applyAlignment="1">
      <alignment horizontal="right"/>
    </xf>
    <xf numFmtId="4" fontId="0" fillId="0" borderId="0" xfId="0" applyNumberFormat="1" applyAlignment="1">
      <alignment horizontal="left"/>
    </xf>
    <xf numFmtId="38" fontId="72" fillId="0" borderId="0" xfId="0" applyNumberFormat="1" applyFont="1" applyFill="1" applyAlignment="1">
      <alignment horizontal="left"/>
    </xf>
    <xf numFmtId="0" fontId="76" fillId="0" borderId="0" xfId="0" applyFont="1" applyAlignment="1">
      <alignment horizontal="center"/>
    </xf>
    <xf numFmtId="3" fontId="0" fillId="0" borderId="0" xfId="0" applyNumberFormat="1" applyBorder="1" applyAlignment="1">
      <alignment horizontal="left"/>
    </xf>
    <xf numFmtId="3" fontId="72" fillId="0" borderId="0" xfId="0" applyNumberFormat="1" applyFont="1" applyAlignment="1">
      <alignment horizontal="left"/>
    </xf>
    <xf numFmtId="3" fontId="0" fillId="0" borderId="22" xfId="0" applyNumberFormat="1" applyBorder="1" applyAlignment="1">
      <alignment horizontal="left"/>
    </xf>
    <xf numFmtId="0" fontId="55" fillId="0" borderId="41" xfId="0" applyFont="1" applyBorder="1" applyAlignment="1">
      <alignment horizontal="center" vertical="center"/>
    </xf>
    <xf numFmtId="0" fontId="55" fillId="0" borderId="12" xfId="0" applyFont="1" applyBorder="1" applyAlignment="1">
      <alignment horizontal="center" vertical="center"/>
    </xf>
    <xf numFmtId="0" fontId="55" fillId="0" borderId="75" xfId="0" applyFont="1" applyBorder="1" applyAlignment="1">
      <alignment horizontal="center" vertical="center"/>
    </xf>
    <xf numFmtId="0" fontId="55" fillId="0" borderId="83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184" fontId="19" fillId="0" borderId="0" xfId="0" applyNumberFormat="1" applyFont="1" applyAlignment="1">
      <alignment horizontal="left"/>
    </xf>
    <xf numFmtId="183" fontId="0" fillId="0" borderId="0" xfId="0" applyNumberFormat="1" applyAlignment="1">
      <alignment horizontal="left"/>
    </xf>
    <xf numFmtId="184" fontId="0" fillId="0" borderId="22" xfId="0" applyNumberFormat="1" applyBorder="1" applyAlignment="1">
      <alignment horizontal="left"/>
    </xf>
    <xf numFmtId="184" fontId="19" fillId="0" borderId="18" xfId="0" applyNumberFormat="1" applyFont="1" applyFill="1" applyBorder="1" applyAlignment="1">
      <alignment horizontal="left"/>
    </xf>
    <xf numFmtId="3" fontId="0" fillId="0" borderId="0" xfId="0" applyNumberFormat="1" applyFont="1" applyFill="1" applyBorder="1" applyAlignment="1">
      <alignment horizontal="left"/>
    </xf>
    <xf numFmtId="3" fontId="0" fillId="0" borderId="22" xfId="0" applyNumberFormat="1" applyFont="1" applyFill="1" applyBorder="1" applyAlignment="1">
      <alignment horizontal="left"/>
    </xf>
    <xf numFmtId="186" fontId="0" fillId="0" borderId="22" xfId="0" applyNumberFormat="1" applyFont="1" applyFill="1" applyBorder="1" applyAlignment="1">
      <alignment horizontal="left"/>
    </xf>
    <xf numFmtId="0" fontId="19" fillId="0" borderId="0" xfId="0" applyFont="1" applyAlignment="1">
      <alignment horizontal="left"/>
    </xf>
    <xf numFmtId="38" fontId="0" fillId="0" borderId="22" xfId="0" applyNumberFormat="1" applyFont="1" applyFill="1" applyBorder="1" applyAlignment="1">
      <alignment horizontal="left"/>
    </xf>
    <xf numFmtId="188" fontId="19" fillId="0" borderId="0" xfId="0" applyNumberFormat="1" applyFont="1" applyFill="1" applyAlignment="1">
      <alignment horizontal="left"/>
    </xf>
    <xf numFmtId="189" fontId="19" fillId="0" borderId="0" xfId="0" applyNumberFormat="1" applyFont="1" applyFill="1" applyAlignment="1">
      <alignment horizontal="left"/>
    </xf>
    <xf numFmtId="187" fontId="19" fillId="0" borderId="0" xfId="0" applyNumberFormat="1" applyFont="1" applyFill="1" applyAlignment="1">
      <alignment horizontal="left"/>
    </xf>
    <xf numFmtId="183" fontId="19" fillId="0" borderId="0" xfId="0" applyNumberFormat="1" applyFont="1" applyFill="1" applyAlignment="1">
      <alignment horizontal="left"/>
    </xf>
    <xf numFmtId="38" fontId="19" fillId="0" borderId="22" xfId="0" applyNumberFormat="1" applyFont="1" applyFill="1" applyBorder="1" applyAlignment="1">
      <alignment horizontal="left"/>
    </xf>
    <xf numFmtId="38" fontId="72" fillId="0" borderId="0" xfId="0" applyNumberFormat="1" applyFont="1" applyFill="1" applyBorder="1" applyAlignment="1">
      <alignment horizontal="left"/>
    </xf>
    <xf numFmtId="0" fontId="60" fillId="0" borderId="0" xfId="0" applyFont="1" applyAlignment="1">
      <alignment horizontal="center"/>
    </xf>
    <xf numFmtId="0" fontId="0" fillId="0" borderId="85" xfId="0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41" fillId="0" borderId="31" xfId="0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 wrapText="1"/>
    </xf>
    <xf numFmtId="0" fontId="41" fillId="0" borderId="32" xfId="0" applyFont="1" applyBorder="1" applyAlignment="1">
      <alignment horizontal="center" vertical="center" wrapText="1"/>
    </xf>
    <xf numFmtId="0" fontId="41" fillId="0" borderId="39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0" fontId="41" fillId="0" borderId="40" xfId="0" applyFont="1" applyBorder="1" applyAlignment="1">
      <alignment horizontal="center" vertical="center" wrapText="1"/>
    </xf>
    <xf numFmtId="0" fontId="41" fillId="0" borderId="33" xfId="0" applyFont="1" applyBorder="1" applyAlignment="1">
      <alignment horizontal="center" vertical="center" wrapText="1"/>
    </xf>
    <xf numFmtId="0" fontId="41" fillId="0" borderId="34" xfId="0" applyFont="1" applyBorder="1" applyAlignment="1">
      <alignment horizontal="center" vertical="center" wrapText="1"/>
    </xf>
    <xf numFmtId="0" fontId="41" fillId="0" borderId="35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0" fillId="0" borderId="88" xfId="0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63" fillId="0" borderId="16" xfId="0" applyFont="1" applyBorder="1" applyAlignment="1">
      <alignment horizontal="center" vertical="center" wrapText="1"/>
    </xf>
    <xf numFmtId="0" fontId="0" fillId="0" borderId="29" xfId="0" applyBorder="1" applyAlignment="1">
      <alignment horizontal="center"/>
    </xf>
    <xf numFmtId="0" fontId="0" fillId="0" borderId="12" xfId="0" applyBorder="1" applyAlignment="1">
      <alignment horizontal="center"/>
    </xf>
    <xf numFmtId="0" fontId="63" fillId="0" borderId="16" xfId="0" applyFont="1" applyBorder="1" applyAlignment="1">
      <alignment horizontal="center" wrapText="1"/>
    </xf>
    <xf numFmtId="0" fontId="0" fillId="0" borderId="66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82" xfId="0" applyBorder="1" applyAlignment="1">
      <alignment horizontal="center"/>
    </xf>
    <xf numFmtId="0" fontId="0" fillId="0" borderId="84" xfId="0" applyBorder="1" applyAlignment="1">
      <alignment horizontal="center"/>
    </xf>
    <xf numFmtId="0" fontId="0" fillId="0" borderId="65" xfId="0" applyBorder="1" applyAlignment="1">
      <alignment horizontal="center"/>
    </xf>
    <xf numFmtId="0" fontId="115" fillId="0" borderId="31" xfId="0" applyFont="1" applyBorder="1" applyAlignment="1">
      <alignment horizontal="center" vertical="center" wrapText="1"/>
    </xf>
    <xf numFmtId="0" fontId="115" fillId="0" borderId="28" xfId="0" applyFont="1" applyBorder="1" applyAlignment="1">
      <alignment horizontal="center" vertical="center" wrapText="1"/>
    </xf>
    <xf numFmtId="0" fontId="115" fillId="0" borderId="32" xfId="0" applyFont="1" applyBorder="1" applyAlignment="1">
      <alignment horizontal="center" vertical="center" wrapText="1"/>
    </xf>
    <xf numFmtId="0" fontId="115" fillId="0" borderId="33" xfId="0" applyFont="1" applyBorder="1" applyAlignment="1">
      <alignment horizontal="center" vertical="center" wrapText="1"/>
    </xf>
    <xf numFmtId="0" fontId="115" fillId="0" borderId="34" xfId="0" applyFont="1" applyBorder="1" applyAlignment="1">
      <alignment horizontal="center" vertical="center" wrapText="1"/>
    </xf>
    <xf numFmtId="0" fontId="115" fillId="0" borderId="35" xfId="0" applyFont="1" applyBorder="1" applyAlignment="1">
      <alignment horizontal="center" vertical="center" wrapText="1"/>
    </xf>
    <xf numFmtId="0" fontId="61" fillId="0" borderId="29" xfId="0" applyFont="1" applyBorder="1" applyAlignment="1">
      <alignment horizontal="center" vertical="center"/>
    </xf>
    <xf numFmtId="0" fontId="61" fillId="0" borderId="12" xfId="0" applyFont="1" applyBorder="1" applyAlignment="1">
      <alignment horizontal="center" vertical="center"/>
    </xf>
    <xf numFmtId="0" fontId="41" fillId="0" borderId="31" xfId="0" applyFont="1" applyBorder="1" applyAlignment="1">
      <alignment horizontal="left" vertical="center" wrapText="1"/>
    </xf>
    <xf numFmtId="0" fontId="41" fillId="0" borderId="28" xfId="0" applyFont="1" applyBorder="1" applyAlignment="1">
      <alignment horizontal="left" vertical="center" wrapText="1"/>
    </xf>
    <xf numFmtId="0" fontId="41" fillId="0" borderId="32" xfId="0" applyFont="1" applyBorder="1" applyAlignment="1">
      <alignment horizontal="left" vertical="center" wrapText="1"/>
    </xf>
    <xf numFmtId="0" fontId="41" fillId="0" borderId="39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41" fillId="0" borderId="40" xfId="0" applyFont="1" applyBorder="1" applyAlignment="1">
      <alignment horizontal="left" vertical="center" wrapText="1"/>
    </xf>
    <xf numFmtId="0" fontId="41" fillId="0" borderId="33" xfId="0" applyFont="1" applyBorder="1" applyAlignment="1">
      <alignment horizontal="left" vertical="center" wrapText="1"/>
    </xf>
    <xf numFmtId="0" fontId="41" fillId="0" borderId="34" xfId="0" applyFont="1" applyBorder="1" applyAlignment="1">
      <alignment horizontal="left" vertical="center" wrapText="1"/>
    </xf>
    <xf numFmtId="0" fontId="41" fillId="0" borderId="35" xfId="0" applyFont="1" applyBorder="1" applyAlignment="1">
      <alignment horizontal="left" vertical="center" wrapText="1"/>
    </xf>
    <xf numFmtId="0" fontId="115" fillId="0" borderId="29" xfId="0" applyFont="1" applyBorder="1" applyAlignment="1">
      <alignment horizontal="center" vertical="center"/>
    </xf>
    <xf numFmtId="0" fontId="115" fillId="0" borderId="15" xfId="0" applyFont="1" applyBorder="1" applyAlignment="1">
      <alignment horizontal="center" vertical="center"/>
    </xf>
    <xf numFmtId="0" fontId="115" fillId="0" borderId="12" xfId="0" applyFont="1" applyBorder="1" applyAlignment="1">
      <alignment horizontal="center" vertical="center"/>
    </xf>
    <xf numFmtId="0" fontId="41" fillId="0" borderId="31" xfId="0" applyFont="1" applyBorder="1" applyAlignment="1">
      <alignment horizontal="center" vertical="center"/>
    </xf>
    <xf numFmtId="0" fontId="41" fillId="0" borderId="28" xfId="0" applyFont="1" applyBorder="1" applyAlignment="1">
      <alignment horizontal="center" vertical="center"/>
    </xf>
    <xf numFmtId="0" fontId="41" fillId="0" borderId="32" xfId="0" applyFont="1" applyBorder="1" applyAlignment="1">
      <alignment horizontal="center" vertical="center"/>
    </xf>
    <xf numFmtId="0" fontId="41" fillId="0" borderId="39" xfId="0" applyFont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41" fillId="0" borderId="40" xfId="0" applyFont="1" applyBorder="1" applyAlignment="1">
      <alignment horizontal="center" vertical="center"/>
    </xf>
    <xf numFmtId="0" fontId="41" fillId="0" borderId="33" xfId="0" applyFont="1" applyBorder="1" applyAlignment="1">
      <alignment horizontal="center" vertical="center"/>
    </xf>
    <xf numFmtId="0" fontId="41" fillId="0" borderId="34" xfId="0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9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63" fillId="0" borderId="30" xfId="0" applyFont="1" applyBorder="1" applyAlignment="1">
      <alignment horizontal="center" vertical="center" wrapText="1"/>
    </xf>
    <xf numFmtId="0" fontId="63" fillId="0" borderId="13" xfId="0" applyFont="1" applyBorder="1" applyAlignment="1">
      <alignment horizontal="center" vertical="center" wrapText="1"/>
    </xf>
    <xf numFmtId="0" fontId="0" fillId="0" borderId="78" xfId="0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19" fillId="0" borderId="88" xfId="0" applyFont="1" applyBorder="1" applyAlignment="1">
      <alignment horizontal="center" vertical="center"/>
    </xf>
    <xf numFmtId="0" fontId="19" fillId="0" borderId="89" xfId="0" applyFont="1" applyBorder="1" applyAlignment="1">
      <alignment horizontal="center" vertical="center"/>
    </xf>
    <xf numFmtId="0" fontId="19" fillId="0" borderId="90" xfId="0" applyFont="1" applyBorder="1" applyAlignment="1">
      <alignment horizontal="center" vertical="center"/>
    </xf>
    <xf numFmtId="0" fontId="19" fillId="0" borderId="61" xfId="0" applyFont="1" applyBorder="1" applyAlignment="1">
      <alignment horizontal="center" vertical="center"/>
    </xf>
    <xf numFmtId="0" fontId="19" fillId="0" borderId="36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  <xf numFmtId="0" fontId="19" fillId="0" borderId="6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36" xfId="0" applyFont="1" applyBorder="1" applyAlignment="1">
      <alignment horizontal="center" vertical="center" wrapText="1"/>
    </xf>
    <xf numFmtId="0" fontId="19" fillId="0" borderId="37" xfId="0" applyFont="1" applyBorder="1" applyAlignment="1">
      <alignment horizontal="center" vertical="center" wrapText="1"/>
    </xf>
    <xf numFmtId="0" fontId="63" fillId="0" borderId="67" xfId="0" applyFont="1" applyFill="1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63" fillId="0" borderId="67" xfId="0" applyFont="1" applyFill="1" applyBorder="1" applyAlignment="1">
      <alignment horizontal="center" vertical="center"/>
    </xf>
    <xf numFmtId="0" fontId="0" fillId="0" borderId="67" xfId="0" applyFont="1" applyFill="1" applyBorder="1" applyAlignment="1">
      <alignment horizontal="center" vertical="center"/>
    </xf>
    <xf numFmtId="0" fontId="63" fillId="0" borderId="36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113" fillId="0" borderId="29" xfId="0" applyFont="1" applyBorder="1" applyAlignment="1">
      <alignment horizontal="center" vertical="center"/>
    </xf>
    <xf numFmtId="0" fontId="113" fillId="0" borderId="12" xfId="0" applyFont="1" applyBorder="1" applyAlignment="1">
      <alignment horizontal="center" vertical="center"/>
    </xf>
    <xf numFmtId="0" fontId="63" fillId="0" borderId="29" xfId="0" applyFont="1" applyBorder="1" applyAlignment="1">
      <alignment horizontal="center" vertical="center"/>
    </xf>
    <xf numFmtId="0" fontId="63" fillId="0" borderId="12" xfId="0" applyFont="1" applyBorder="1" applyAlignment="1">
      <alignment horizontal="center" vertical="center"/>
    </xf>
    <xf numFmtId="0" fontId="63" fillId="0" borderId="15" xfId="0" applyFont="1" applyBorder="1" applyAlignment="1">
      <alignment horizontal="center" vertical="center"/>
    </xf>
    <xf numFmtId="0" fontId="63" fillId="0" borderId="36" xfId="0" applyFont="1" applyFill="1" applyBorder="1" applyAlignment="1">
      <alignment horizontal="center" vertical="center"/>
    </xf>
    <xf numFmtId="0" fontId="0" fillId="0" borderId="36" xfId="0" applyFont="1" applyFill="1" applyBorder="1" applyAlignment="1">
      <alignment horizontal="center" vertical="center"/>
    </xf>
    <xf numFmtId="0" fontId="41" fillId="0" borderId="36" xfId="0" applyFont="1" applyBorder="1" applyAlignment="1">
      <alignment horizontal="center" vertical="center"/>
    </xf>
    <xf numFmtId="2" fontId="63" fillId="0" borderId="29" xfId="0" quotePrefix="1" applyNumberFormat="1" applyFont="1" applyBorder="1" applyAlignment="1">
      <alignment horizontal="center" vertical="center"/>
    </xf>
    <xf numFmtId="2" fontId="63" fillId="0" borderId="12" xfId="0" quotePrefix="1" applyNumberFormat="1" applyFont="1" applyBorder="1" applyAlignment="1">
      <alignment horizontal="center" vertical="center"/>
    </xf>
    <xf numFmtId="0" fontId="41" fillId="0" borderId="29" xfId="0" applyFont="1" applyBorder="1" applyAlignment="1">
      <alignment horizontal="center" vertical="center"/>
    </xf>
    <xf numFmtId="0" fontId="41" fillId="0" borderId="12" xfId="0" applyFont="1" applyBorder="1" applyAlignment="1">
      <alignment horizontal="center" vertical="center"/>
    </xf>
    <xf numFmtId="0" fontId="41" fillId="0" borderId="88" xfId="0" applyFont="1" applyBorder="1" applyAlignment="1">
      <alignment horizontal="center" vertical="center"/>
    </xf>
    <xf numFmtId="0" fontId="41" fillId="0" borderId="89" xfId="0" applyFont="1" applyBorder="1" applyAlignment="1">
      <alignment horizontal="center" vertical="center"/>
    </xf>
    <xf numFmtId="0" fontId="41" fillId="0" borderId="90" xfId="0" applyFont="1" applyBorder="1" applyAlignment="1">
      <alignment horizontal="center" vertical="center"/>
    </xf>
    <xf numFmtId="0" fontId="41" fillId="0" borderId="61" xfId="0" applyFont="1" applyBorder="1" applyAlignment="1">
      <alignment horizontal="center" vertical="center"/>
    </xf>
    <xf numFmtId="0" fontId="41" fillId="0" borderId="37" xfId="0" applyFont="1" applyBorder="1" applyAlignment="1">
      <alignment horizontal="center" vertical="center"/>
    </xf>
    <xf numFmtId="0" fontId="41" fillId="0" borderId="85" xfId="0" applyFont="1" applyBorder="1" applyAlignment="1">
      <alignment horizontal="center" vertical="center"/>
    </xf>
    <xf numFmtId="0" fontId="41" fillId="0" borderId="86" xfId="0" applyFont="1" applyBorder="1" applyAlignment="1">
      <alignment horizontal="center" vertical="center"/>
    </xf>
    <xf numFmtId="0" fontId="41" fillId="0" borderId="87" xfId="0" applyFont="1" applyBorder="1" applyAlignment="1">
      <alignment horizontal="center" vertical="center"/>
    </xf>
    <xf numFmtId="0" fontId="41" fillId="0" borderId="66" xfId="0" applyFont="1" applyBorder="1" applyAlignment="1">
      <alignment horizontal="center" vertical="center"/>
    </xf>
    <xf numFmtId="0" fontId="41" fillId="0" borderId="67" xfId="0" applyFont="1" applyBorder="1" applyAlignment="1">
      <alignment horizontal="center" vertical="center"/>
    </xf>
    <xf numFmtId="0" fontId="41" fillId="0" borderId="68" xfId="0" applyFont="1" applyBorder="1" applyAlignment="1">
      <alignment horizontal="center" vertical="center"/>
    </xf>
    <xf numFmtId="0" fontId="41" fillId="0" borderId="64" xfId="0" applyFont="1" applyBorder="1" applyAlignment="1">
      <alignment horizontal="center" vertical="center"/>
    </xf>
    <xf numFmtId="0" fontId="41" fillId="0" borderId="22" xfId="0" applyFont="1" applyBorder="1" applyAlignment="1">
      <alignment horizontal="center" vertical="center"/>
    </xf>
    <xf numFmtId="0" fontId="41" fillId="0" borderId="23" xfId="0" applyFont="1" applyBorder="1" applyAlignment="1">
      <alignment horizontal="center" vertical="center"/>
    </xf>
    <xf numFmtId="0" fontId="41" fillId="0" borderId="15" xfId="0" applyFont="1" applyBorder="1" applyAlignment="1">
      <alignment horizontal="center" vertical="center"/>
    </xf>
    <xf numFmtId="0" fontId="41" fillId="0" borderId="82" xfId="0" applyFont="1" applyBorder="1" applyAlignment="1">
      <alignment horizontal="center"/>
    </xf>
    <xf numFmtId="0" fontId="41" fillId="0" borderId="84" xfId="0" applyFont="1" applyBorder="1" applyAlignment="1">
      <alignment horizontal="center"/>
    </xf>
    <xf numFmtId="0" fontId="41" fillId="0" borderId="65" xfId="0" applyFont="1" applyBorder="1" applyAlignment="1">
      <alignment horizontal="center"/>
    </xf>
    <xf numFmtId="0" fontId="41" fillId="0" borderId="85" xfId="0" applyFont="1" applyBorder="1" applyAlignment="1">
      <alignment horizontal="center"/>
    </xf>
    <xf numFmtId="0" fontId="41" fillId="0" borderId="86" xfId="0" applyFont="1" applyBorder="1" applyAlignment="1">
      <alignment horizontal="center"/>
    </xf>
    <xf numFmtId="0" fontId="41" fillId="0" borderId="87" xfId="0" applyFont="1" applyBorder="1" applyAlignment="1">
      <alignment horizontal="center"/>
    </xf>
    <xf numFmtId="0" fontId="41" fillId="0" borderId="16" xfId="0" applyFont="1" applyBorder="1" applyAlignment="1">
      <alignment horizontal="center" vertical="center" wrapText="1"/>
    </xf>
    <xf numFmtId="0" fontId="41" fillId="0" borderId="29" xfId="0" applyFont="1" applyBorder="1" applyAlignment="1">
      <alignment horizontal="center"/>
    </xf>
    <xf numFmtId="0" fontId="41" fillId="0" borderId="12" xfId="0" applyFont="1" applyBorder="1" applyAlignment="1">
      <alignment horizontal="center"/>
    </xf>
    <xf numFmtId="0" fontId="77" fillId="0" borderId="0" xfId="0" applyFont="1" applyAlignment="1">
      <alignment horizontal="center"/>
    </xf>
    <xf numFmtId="0" fontId="44" fillId="0" borderId="75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44" fillId="0" borderId="41" xfId="0" applyFont="1" applyBorder="1" applyAlignment="1">
      <alignment horizontal="center" vertical="center"/>
    </xf>
    <xf numFmtId="0" fontId="44" fillId="0" borderId="49" xfId="0" applyFont="1" applyBorder="1" applyAlignment="1">
      <alignment horizontal="center" vertical="center"/>
    </xf>
    <xf numFmtId="0" fontId="70" fillId="0" borderId="0" xfId="0" applyFont="1" applyAlignment="1">
      <alignment horizontal="center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" xfId="29" builtinId="6"/>
    <cellStyle name="Comma [0] 2" xfId="45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6"/>
    <cellStyle name="Normal_Sheet1" xfId="44"/>
    <cellStyle name="Note" xfId="39" builtinId="10" customBuiltin="1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2.jpeg"/><Relationship Id="rId1" Type="http://schemas.openxmlformats.org/officeDocument/2006/relationships/image" Target="../media/image10.jpeg"/><Relationship Id="rId6" Type="http://schemas.openxmlformats.org/officeDocument/2006/relationships/image" Target="../media/image9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13" Type="http://schemas.openxmlformats.org/officeDocument/2006/relationships/image" Target="../media/image21.jpeg"/><Relationship Id="rId18" Type="http://schemas.openxmlformats.org/officeDocument/2006/relationships/image" Target="../media/image26.jpeg"/><Relationship Id="rId3" Type="http://schemas.openxmlformats.org/officeDocument/2006/relationships/image" Target="../media/image11.jpeg"/><Relationship Id="rId7" Type="http://schemas.openxmlformats.org/officeDocument/2006/relationships/image" Target="../media/image15.jpeg"/><Relationship Id="rId12" Type="http://schemas.openxmlformats.org/officeDocument/2006/relationships/image" Target="../media/image20.jpeg"/><Relationship Id="rId17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24.jpeg"/><Relationship Id="rId20" Type="http://schemas.openxmlformats.org/officeDocument/2006/relationships/image" Target="../media/image9.jpeg"/><Relationship Id="rId1" Type="http://schemas.openxmlformats.org/officeDocument/2006/relationships/image" Target="../media/image10.jpeg"/><Relationship Id="rId6" Type="http://schemas.openxmlformats.org/officeDocument/2006/relationships/image" Target="../media/image14.jpeg"/><Relationship Id="rId11" Type="http://schemas.openxmlformats.org/officeDocument/2006/relationships/image" Target="../media/image19.jpeg"/><Relationship Id="rId5" Type="http://schemas.openxmlformats.org/officeDocument/2006/relationships/image" Target="../media/image13.jpeg"/><Relationship Id="rId15" Type="http://schemas.openxmlformats.org/officeDocument/2006/relationships/image" Target="../media/image23.jpeg"/><Relationship Id="rId10" Type="http://schemas.openxmlformats.org/officeDocument/2006/relationships/image" Target="../media/image18.jpeg"/><Relationship Id="rId19" Type="http://schemas.openxmlformats.org/officeDocument/2006/relationships/image" Target="../media/image27.jpeg"/><Relationship Id="rId4" Type="http://schemas.openxmlformats.org/officeDocument/2006/relationships/image" Target="../media/image12.jpeg"/><Relationship Id="rId9" Type="http://schemas.openxmlformats.org/officeDocument/2006/relationships/image" Target="../media/image17.jpeg"/><Relationship Id="rId14" Type="http://schemas.openxmlformats.org/officeDocument/2006/relationships/image" Target="../media/image2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127324</xdr:colOff>
      <xdr:row>16</xdr:row>
      <xdr:rowOff>8046</xdr:rowOff>
    </xdr:from>
    <xdr:to>
      <xdr:col>7</xdr:col>
      <xdr:colOff>394024</xdr:colOff>
      <xdr:row>19</xdr:row>
      <xdr:rowOff>73714</xdr:rowOff>
    </xdr:to>
    <xdr:sp macro="" textlink="">
      <xdr:nvSpPr>
        <xdr:cNvPr id="34" name="Rectangle 33"/>
        <xdr:cNvSpPr/>
      </xdr:nvSpPr>
      <xdr:spPr>
        <a:xfrm rot="1653705">
          <a:off x="2880049" y="2922696"/>
          <a:ext cx="266700" cy="63716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266700</xdr:colOff>
      <xdr:row>7</xdr:row>
      <xdr:rowOff>114300</xdr:rowOff>
    </xdr:from>
    <xdr:to>
      <xdr:col>9</xdr:col>
      <xdr:colOff>152400</xdr:colOff>
      <xdr:row>11</xdr:row>
      <xdr:rowOff>161925</xdr:rowOff>
    </xdr:to>
    <xdr:sp macro="" textlink="">
      <xdr:nvSpPr>
        <xdr:cNvPr id="2" name="Flowchart: Direct Access Storage 1"/>
        <xdr:cNvSpPr/>
      </xdr:nvSpPr>
      <xdr:spPr>
        <a:xfrm>
          <a:off x="4867275" y="2647950"/>
          <a:ext cx="1933575" cy="809625"/>
        </a:xfrm>
        <a:prstGeom prst="flowChartMagneticDrum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142875</xdr:colOff>
      <xdr:row>11</xdr:row>
      <xdr:rowOff>180975</xdr:rowOff>
    </xdr:from>
    <xdr:to>
      <xdr:col>8</xdr:col>
      <xdr:colOff>57150</xdr:colOff>
      <xdr:row>12</xdr:row>
      <xdr:rowOff>142875</xdr:rowOff>
    </xdr:to>
    <xdr:sp macro="" textlink="">
      <xdr:nvSpPr>
        <xdr:cNvPr id="3" name="Flowchart: Data 2"/>
        <xdr:cNvSpPr/>
      </xdr:nvSpPr>
      <xdr:spPr>
        <a:xfrm>
          <a:off x="5972175" y="3476625"/>
          <a:ext cx="3238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123823</xdr:colOff>
      <xdr:row>11</xdr:row>
      <xdr:rowOff>180974</xdr:rowOff>
    </xdr:from>
    <xdr:to>
      <xdr:col>9</xdr:col>
      <xdr:colOff>28574</xdr:colOff>
      <xdr:row>12</xdr:row>
      <xdr:rowOff>133349</xdr:rowOff>
    </xdr:to>
    <xdr:sp macro="" textlink="">
      <xdr:nvSpPr>
        <xdr:cNvPr id="4" name="Flowchart: Data 3"/>
        <xdr:cNvSpPr/>
      </xdr:nvSpPr>
      <xdr:spPr>
        <a:xfrm flipH="1">
          <a:off x="6362698" y="3476624"/>
          <a:ext cx="3143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28575</xdr:colOff>
      <xdr:row>12</xdr:row>
      <xdr:rowOff>1</xdr:rowOff>
    </xdr:from>
    <xdr:to>
      <xdr:col>5</xdr:col>
      <xdr:colOff>352425</xdr:colOff>
      <xdr:row>12</xdr:row>
      <xdr:rowOff>152401</xdr:rowOff>
    </xdr:to>
    <xdr:sp macro="" textlink="">
      <xdr:nvSpPr>
        <xdr:cNvPr id="5" name="Flowchart: Data 4"/>
        <xdr:cNvSpPr/>
      </xdr:nvSpPr>
      <xdr:spPr>
        <a:xfrm>
          <a:off x="5038725" y="3486151"/>
          <a:ext cx="3238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9523</xdr:colOff>
      <xdr:row>12</xdr:row>
      <xdr:rowOff>0</xdr:rowOff>
    </xdr:from>
    <xdr:to>
      <xdr:col>6</xdr:col>
      <xdr:colOff>323849</xdr:colOff>
      <xdr:row>12</xdr:row>
      <xdr:rowOff>142875</xdr:rowOff>
    </xdr:to>
    <xdr:sp macro="" textlink="">
      <xdr:nvSpPr>
        <xdr:cNvPr id="6" name="Flowchart: Data 5"/>
        <xdr:cNvSpPr/>
      </xdr:nvSpPr>
      <xdr:spPr>
        <a:xfrm flipH="1">
          <a:off x="5429248" y="3486150"/>
          <a:ext cx="3143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352425</xdr:colOff>
      <xdr:row>6</xdr:row>
      <xdr:rowOff>104775</xdr:rowOff>
    </xdr:from>
    <xdr:to>
      <xdr:col>7</xdr:col>
      <xdr:colOff>152400</xdr:colOff>
      <xdr:row>7</xdr:row>
      <xdr:rowOff>123825</xdr:rowOff>
    </xdr:to>
    <xdr:sp macro="" textlink="">
      <xdr:nvSpPr>
        <xdr:cNvPr id="7" name="Can 6"/>
        <xdr:cNvSpPr/>
      </xdr:nvSpPr>
      <xdr:spPr>
        <a:xfrm>
          <a:off x="5772150" y="2447925"/>
          <a:ext cx="209550" cy="209550"/>
        </a:xfrm>
        <a:prstGeom prst="ca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219075</xdr:colOff>
      <xdr:row>7</xdr:row>
      <xdr:rowOff>104775</xdr:rowOff>
    </xdr:from>
    <xdr:to>
      <xdr:col>10</xdr:col>
      <xdr:colOff>200025</xdr:colOff>
      <xdr:row>7</xdr:row>
      <xdr:rowOff>104775</xdr:rowOff>
    </xdr:to>
    <xdr:cxnSp macro="">
      <xdr:nvCxnSpPr>
        <xdr:cNvPr id="8" name="Straight Connector 7"/>
        <xdr:cNvCxnSpPr/>
      </xdr:nvCxnSpPr>
      <xdr:spPr>
        <a:xfrm>
          <a:off x="6457950" y="2638425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209550</xdr:colOff>
      <xdr:row>11</xdr:row>
      <xdr:rowOff>152400</xdr:rowOff>
    </xdr:from>
    <xdr:to>
      <xdr:col>10</xdr:col>
      <xdr:colOff>190500</xdr:colOff>
      <xdr:row>11</xdr:row>
      <xdr:rowOff>152400</xdr:rowOff>
    </xdr:to>
    <xdr:cxnSp macro="">
      <xdr:nvCxnSpPr>
        <xdr:cNvPr id="9" name="Straight Connector 8"/>
        <xdr:cNvCxnSpPr/>
      </xdr:nvCxnSpPr>
      <xdr:spPr>
        <a:xfrm>
          <a:off x="6448425" y="344805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352425</xdr:colOff>
      <xdr:row>7</xdr:row>
      <xdr:rowOff>114300</xdr:rowOff>
    </xdr:from>
    <xdr:to>
      <xdr:col>9</xdr:col>
      <xdr:colOff>361950</xdr:colOff>
      <xdr:row>11</xdr:row>
      <xdr:rowOff>152400</xdr:rowOff>
    </xdr:to>
    <xdr:cxnSp macro="">
      <xdr:nvCxnSpPr>
        <xdr:cNvPr id="10" name="Straight Arrow Connector 9"/>
        <xdr:cNvCxnSpPr/>
      </xdr:nvCxnSpPr>
      <xdr:spPr>
        <a:xfrm>
          <a:off x="7000875" y="2647950"/>
          <a:ext cx="9525" cy="80010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9</xdr:row>
      <xdr:rowOff>19050</xdr:rowOff>
    </xdr:from>
    <xdr:to>
      <xdr:col>10</xdr:col>
      <xdr:colOff>304800</xdr:colOff>
      <xdr:row>10</xdr:row>
      <xdr:rowOff>85725</xdr:rowOff>
    </xdr:to>
    <xdr:sp macro="" textlink="">
      <xdr:nvSpPr>
        <xdr:cNvPr id="11" name="TextBox 10"/>
        <xdr:cNvSpPr txBox="1"/>
      </xdr:nvSpPr>
      <xdr:spPr>
        <a:xfrm>
          <a:off x="7058025" y="2933700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</a:t>
          </a:r>
        </a:p>
      </xdr:txBody>
    </xdr:sp>
    <xdr:clientData/>
  </xdr:twoCellAnchor>
  <xdr:twoCellAnchor>
    <xdr:from>
      <xdr:col>4</xdr:col>
      <xdr:colOff>266700</xdr:colOff>
      <xdr:row>8</xdr:row>
      <xdr:rowOff>171450</xdr:rowOff>
    </xdr:from>
    <xdr:to>
      <xdr:col>4</xdr:col>
      <xdr:colOff>266700</xdr:colOff>
      <xdr:row>10</xdr:row>
      <xdr:rowOff>128588</xdr:rowOff>
    </xdr:to>
    <xdr:cxnSp macro="">
      <xdr:nvCxnSpPr>
        <xdr:cNvPr id="12" name="Straight Connector 11"/>
        <xdr:cNvCxnSpPr/>
      </xdr:nvCxnSpPr>
      <xdr:spPr>
        <a:xfrm flipV="1">
          <a:off x="4867275" y="289560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314325</xdr:colOff>
      <xdr:row>8</xdr:row>
      <xdr:rowOff>171450</xdr:rowOff>
    </xdr:from>
    <xdr:to>
      <xdr:col>7</xdr:col>
      <xdr:colOff>314325</xdr:colOff>
      <xdr:row>10</xdr:row>
      <xdr:rowOff>128588</xdr:rowOff>
    </xdr:to>
    <xdr:cxnSp macro="">
      <xdr:nvCxnSpPr>
        <xdr:cNvPr id="13" name="Straight Connector 12"/>
        <xdr:cNvCxnSpPr/>
      </xdr:nvCxnSpPr>
      <xdr:spPr>
        <a:xfrm flipV="1">
          <a:off x="6143625" y="289560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276225</xdr:colOff>
      <xdr:row>9</xdr:row>
      <xdr:rowOff>138113</xdr:rowOff>
    </xdr:from>
    <xdr:to>
      <xdr:col>7</xdr:col>
      <xdr:colOff>327025</xdr:colOff>
      <xdr:row>9</xdr:row>
      <xdr:rowOff>161927</xdr:rowOff>
    </xdr:to>
    <xdr:cxnSp macro="">
      <xdr:nvCxnSpPr>
        <xdr:cNvPr id="14" name="Straight Arrow Connector 13"/>
        <xdr:cNvCxnSpPr>
          <a:endCxn id="2" idx="3"/>
        </xdr:cNvCxnSpPr>
      </xdr:nvCxnSpPr>
      <xdr:spPr>
        <a:xfrm flipV="1">
          <a:off x="4876800" y="3052763"/>
          <a:ext cx="1279525" cy="23814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390525</xdr:colOff>
      <xdr:row>8</xdr:row>
      <xdr:rowOff>66675</xdr:rowOff>
    </xdr:from>
    <xdr:to>
      <xdr:col>6</xdr:col>
      <xdr:colOff>285750</xdr:colOff>
      <xdr:row>9</xdr:row>
      <xdr:rowOff>133350</xdr:rowOff>
    </xdr:to>
    <xdr:sp macro="" textlink="">
      <xdr:nvSpPr>
        <xdr:cNvPr id="15" name="TextBox 14"/>
        <xdr:cNvSpPr txBox="1"/>
      </xdr:nvSpPr>
      <xdr:spPr>
        <a:xfrm>
          <a:off x="5400675" y="2790825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</a:t>
          </a:r>
        </a:p>
      </xdr:txBody>
    </xdr:sp>
    <xdr:clientData/>
  </xdr:twoCellAnchor>
  <xdr:twoCellAnchor>
    <xdr:from>
      <xdr:col>6</xdr:col>
      <xdr:colOff>342900</xdr:colOff>
      <xdr:row>4</xdr:row>
      <xdr:rowOff>161925</xdr:rowOff>
    </xdr:from>
    <xdr:to>
      <xdr:col>6</xdr:col>
      <xdr:colOff>342900</xdr:colOff>
      <xdr:row>6</xdr:row>
      <xdr:rowOff>119063</xdr:rowOff>
    </xdr:to>
    <xdr:cxnSp macro="">
      <xdr:nvCxnSpPr>
        <xdr:cNvPr id="16" name="Straight Connector 15"/>
        <xdr:cNvCxnSpPr/>
      </xdr:nvCxnSpPr>
      <xdr:spPr>
        <a:xfrm flipV="1">
          <a:off x="5762625" y="212407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161925</xdr:colOff>
      <xdr:row>4</xdr:row>
      <xdr:rowOff>161925</xdr:rowOff>
    </xdr:from>
    <xdr:to>
      <xdr:col>7</xdr:col>
      <xdr:colOff>161925</xdr:colOff>
      <xdr:row>6</xdr:row>
      <xdr:rowOff>119063</xdr:rowOff>
    </xdr:to>
    <xdr:cxnSp macro="">
      <xdr:nvCxnSpPr>
        <xdr:cNvPr id="17" name="Straight Connector 16"/>
        <xdr:cNvCxnSpPr/>
      </xdr:nvCxnSpPr>
      <xdr:spPr>
        <a:xfrm flipV="1">
          <a:off x="5991225" y="212407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342900</xdr:colOff>
      <xdr:row>4</xdr:row>
      <xdr:rowOff>180975</xdr:rowOff>
    </xdr:from>
    <xdr:to>
      <xdr:col>7</xdr:col>
      <xdr:colOff>161925</xdr:colOff>
      <xdr:row>5</xdr:row>
      <xdr:rowOff>0</xdr:rowOff>
    </xdr:to>
    <xdr:cxnSp macro="">
      <xdr:nvCxnSpPr>
        <xdr:cNvPr id="18" name="Straight Arrow Connector 17"/>
        <xdr:cNvCxnSpPr/>
      </xdr:nvCxnSpPr>
      <xdr:spPr>
        <a:xfrm flipV="1">
          <a:off x="5762625" y="2143125"/>
          <a:ext cx="2286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323850</xdr:colOff>
      <xdr:row>3</xdr:row>
      <xdr:rowOff>38100</xdr:rowOff>
    </xdr:from>
    <xdr:to>
      <xdr:col>7</xdr:col>
      <xdr:colOff>219075</xdr:colOff>
      <xdr:row>4</xdr:row>
      <xdr:rowOff>104775</xdr:rowOff>
    </xdr:to>
    <xdr:sp macro="" textlink="">
      <xdr:nvSpPr>
        <xdr:cNvPr id="19" name="TextBox 18"/>
        <xdr:cNvSpPr txBox="1"/>
      </xdr:nvSpPr>
      <xdr:spPr>
        <a:xfrm>
          <a:off x="5743575" y="1809750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dt</a:t>
          </a:r>
        </a:p>
      </xdr:txBody>
    </xdr:sp>
    <xdr:clientData/>
  </xdr:twoCellAnchor>
  <xdr:twoCellAnchor>
    <xdr:from>
      <xdr:col>7</xdr:col>
      <xdr:colOff>123825</xdr:colOff>
      <xdr:row>6</xdr:row>
      <xdr:rowOff>123825</xdr:rowOff>
    </xdr:from>
    <xdr:to>
      <xdr:col>9</xdr:col>
      <xdr:colOff>104775</xdr:colOff>
      <xdr:row>6</xdr:row>
      <xdr:rowOff>123825</xdr:rowOff>
    </xdr:to>
    <xdr:cxnSp macro="">
      <xdr:nvCxnSpPr>
        <xdr:cNvPr id="20" name="Straight Connector 19"/>
        <xdr:cNvCxnSpPr/>
      </xdr:nvCxnSpPr>
      <xdr:spPr>
        <a:xfrm>
          <a:off x="5953125" y="2466975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38100</xdr:colOff>
      <xdr:row>6</xdr:row>
      <xdr:rowOff>123825</xdr:rowOff>
    </xdr:from>
    <xdr:to>
      <xdr:col>9</xdr:col>
      <xdr:colOff>38101</xdr:colOff>
      <xdr:row>7</xdr:row>
      <xdr:rowOff>114300</xdr:rowOff>
    </xdr:to>
    <xdr:cxnSp macro="">
      <xdr:nvCxnSpPr>
        <xdr:cNvPr id="21" name="Straight Arrow Connector 20"/>
        <xdr:cNvCxnSpPr/>
      </xdr:nvCxnSpPr>
      <xdr:spPr>
        <a:xfrm>
          <a:off x="6686550" y="246697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95250</xdr:colOff>
      <xdr:row>6</xdr:row>
      <xdr:rowOff>66675</xdr:rowOff>
    </xdr:from>
    <xdr:to>
      <xdr:col>9</xdr:col>
      <xdr:colOff>400050</xdr:colOff>
      <xdr:row>7</xdr:row>
      <xdr:rowOff>133350</xdr:rowOff>
    </xdr:to>
    <xdr:sp macro="" textlink="">
      <xdr:nvSpPr>
        <xdr:cNvPr id="22" name="TextBox 21"/>
        <xdr:cNvSpPr txBox="1"/>
      </xdr:nvSpPr>
      <xdr:spPr>
        <a:xfrm>
          <a:off x="6743700" y="2409825"/>
          <a:ext cx="3048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tt</a:t>
          </a:r>
        </a:p>
      </xdr:txBody>
    </xdr:sp>
    <xdr:clientData/>
  </xdr:twoCellAnchor>
  <xdr:twoCellAnchor>
    <xdr:from>
      <xdr:col>4</xdr:col>
      <xdr:colOff>295275</xdr:colOff>
      <xdr:row>12</xdr:row>
      <xdr:rowOff>76201</xdr:rowOff>
    </xdr:from>
    <xdr:to>
      <xdr:col>5</xdr:col>
      <xdr:colOff>60960</xdr:colOff>
      <xdr:row>14</xdr:row>
      <xdr:rowOff>104775</xdr:rowOff>
    </xdr:to>
    <xdr:cxnSp macro="">
      <xdr:nvCxnSpPr>
        <xdr:cNvPr id="23" name="Straight Connector 22"/>
        <xdr:cNvCxnSpPr>
          <a:endCxn id="5" idx="2"/>
        </xdr:cNvCxnSpPr>
      </xdr:nvCxnSpPr>
      <xdr:spPr>
        <a:xfrm flipV="1">
          <a:off x="4895850" y="3562351"/>
          <a:ext cx="1752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12</xdr:row>
      <xdr:rowOff>66675</xdr:rowOff>
    </xdr:from>
    <xdr:to>
      <xdr:col>5</xdr:col>
      <xdr:colOff>327660</xdr:colOff>
      <xdr:row>14</xdr:row>
      <xdr:rowOff>95249</xdr:rowOff>
    </xdr:to>
    <xdr:cxnSp macro="">
      <xdr:nvCxnSpPr>
        <xdr:cNvPr id="24" name="Straight Connector 23"/>
        <xdr:cNvCxnSpPr/>
      </xdr:nvCxnSpPr>
      <xdr:spPr>
        <a:xfrm flipV="1">
          <a:off x="5162550" y="3552825"/>
          <a:ext cx="1752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304800</xdr:colOff>
      <xdr:row>14</xdr:row>
      <xdr:rowOff>104775</xdr:rowOff>
    </xdr:from>
    <xdr:to>
      <xdr:col>5</xdr:col>
      <xdr:colOff>123825</xdr:colOff>
      <xdr:row>14</xdr:row>
      <xdr:rowOff>114300</xdr:rowOff>
    </xdr:to>
    <xdr:cxnSp macro="">
      <xdr:nvCxnSpPr>
        <xdr:cNvPr id="25" name="Straight Arrow Connector 24"/>
        <xdr:cNvCxnSpPr/>
      </xdr:nvCxnSpPr>
      <xdr:spPr>
        <a:xfrm flipV="1">
          <a:off x="1419225" y="2828925"/>
          <a:ext cx="2286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285749</xdr:colOff>
      <xdr:row>13</xdr:row>
      <xdr:rowOff>85725</xdr:rowOff>
    </xdr:from>
    <xdr:to>
      <xdr:col>5</xdr:col>
      <xdr:colOff>228599</xdr:colOff>
      <xdr:row>14</xdr:row>
      <xdr:rowOff>152400</xdr:rowOff>
    </xdr:to>
    <xdr:sp macro="" textlink="">
      <xdr:nvSpPr>
        <xdr:cNvPr id="26" name="TextBox 25"/>
        <xdr:cNvSpPr txBox="1"/>
      </xdr:nvSpPr>
      <xdr:spPr>
        <a:xfrm>
          <a:off x="1400174" y="2619375"/>
          <a:ext cx="3524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Lk</a:t>
          </a:r>
        </a:p>
      </xdr:txBody>
    </xdr:sp>
    <xdr:clientData/>
  </xdr:twoCellAnchor>
  <xdr:twoCellAnchor>
    <xdr:from>
      <xdr:col>3</xdr:col>
      <xdr:colOff>238125</xdr:colOff>
      <xdr:row>12</xdr:row>
      <xdr:rowOff>0</xdr:rowOff>
    </xdr:from>
    <xdr:to>
      <xdr:col>5</xdr:col>
      <xdr:colOff>219075</xdr:colOff>
      <xdr:row>12</xdr:row>
      <xdr:rowOff>0</xdr:rowOff>
    </xdr:to>
    <xdr:cxnSp macro="">
      <xdr:nvCxnSpPr>
        <xdr:cNvPr id="27" name="Straight Connector 26"/>
        <xdr:cNvCxnSpPr/>
      </xdr:nvCxnSpPr>
      <xdr:spPr>
        <a:xfrm>
          <a:off x="4429125" y="348615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12</xdr:row>
      <xdr:rowOff>152400</xdr:rowOff>
    </xdr:from>
    <xdr:to>
      <xdr:col>5</xdr:col>
      <xdr:colOff>238125</xdr:colOff>
      <xdr:row>12</xdr:row>
      <xdr:rowOff>152400</xdr:rowOff>
    </xdr:to>
    <xdr:cxnSp macro="">
      <xdr:nvCxnSpPr>
        <xdr:cNvPr id="28" name="Straight Connector 27"/>
        <xdr:cNvCxnSpPr/>
      </xdr:nvCxnSpPr>
      <xdr:spPr>
        <a:xfrm>
          <a:off x="4448175" y="363855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323850</xdr:colOff>
      <xdr:row>11</xdr:row>
      <xdr:rowOff>180975</xdr:rowOff>
    </xdr:from>
    <xdr:to>
      <xdr:col>3</xdr:col>
      <xdr:colOff>323851</xdr:colOff>
      <xdr:row>12</xdr:row>
      <xdr:rowOff>171450</xdr:rowOff>
    </xdr:to>
    <xdr:cxnSp macro="">
      <xdr:nvCxnSpPr>
        <xdr:cNvPr id="29" name="Straight Arrow Connector 28"/>
        <xdr:cNvCxnSpPr/>
      </xdr:nvCxnSpPr>
      <xdr:spPr>
        <a:xfrm>
          <a:off x="4514850" y="347662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380999</xdr:colOff>
      <xdr:row>11</xdr:row>
      <xdr:rowOff>123825</xdr:rowOff>
    </xdr:from>
    <xdr:to>
      <xdr:col>4</xdr:col>
      <xdr:colOff>361949</xdr:colOff>
      <xdr:row>13</xdr:row>
      <xdr:rowOff>0</xdr:rowOff>
    </xdr:to>
    <xdr:sp macro="" textlink="">
      <xdr:nvSpPr>
        <xdr:cNvPr id="30" name="TextBox 29"/>
        <xdr:cNvSpPr txBox="1"/>
      </xdr:nvSpPr>
      <xdr:spPr>
        <a:xfrm>
          <a:off x="1085849" y="2276475"/>
          <a:ext cx="3905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pk</a:t>
          </a:r>
        </a:p>
      </xdr:txBody>
    </xdr:sp>
    <xdr:clientData/>
  </xdr:twoCellAnchor>
  <xdr:twoCellAnchor>
    <xdr:from>
      <xdr:col>6</xdr:col>
      <xdr:colOff>329027</xdr:colOff>
      <xdr:row>15</xdr:row>
      <xdr:rowOff>142829</xdr:rowOff>
    </xdr:from>
    <xdr:to>
      <xdr:col>7</xdr:col>
      <xdr:colOff>217474</xdr:colOff>
      <xdr:row>19</xdr:row>
      <xdr:rowOff>141820</xdr:rowOff>
    </xdr:to>
    <xdr:sp macro="" textlink="">
      <xdr:nvSpPr>
        <xdr:cNvPr id="31" name="Flowchart: Data 30"/>
        <xdr:cNvSpPr/>
      </xdr:nvSpPr>
      <xdr:spPr>
        <a:xfrm rot="6984104" flipV="1">
          <a:off x="2440692" y="3098464"/>
          <a:ext cx="760991" cy="298022"/>
        </a:xfrm>
        <a:prstGeom prst="flowChartInputOutp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135717</xdr:colOff>
      <xdr:row>16</xdr:row>
      <xdr:rowOff>10919</xdr:rowOff>
    </xdr:from>
    <xdr:to>
      <xdr:col>6</xdr:col>
      <xdr:colOff>402417</xdr:colOff>
      <xdr:row>19</xdr:row>
      <xdr:rowOff>95908</xdr:rowOff>
    </xdr:to>
    <xdr:sp macro="" textlink="">
      <xdr:nvSpPr>
        <xdr:cNvPr id="33" name="Rectangle 32"/>
        <xdr:cNvSpPr/>
      </xdr:nvSpPr>
      <xdr:spPr>
        <a:xfrm rot="1653705">
          <a:off x="2478867" y="2925569"/>
          <a:ext cx="266700" cy="65648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333375</xdr:colOff>
      <xdr:row>19</xdr:row>
      <xdr:rowOff>57151</xdr:rowOff>
    </xdr:from>
    <xdr:to>
      <xdr:col>6</xdr:col>
      <xdr:colOff>146685</xdr:colOff>
      <xdr:row>21</xdr:row>
      <xdr:rowOff>95250</xdr:rowOff>
    </xdr:to>
    <xdr:cxnSp macro="">
      <xdr:nvCxnSpPr>
        <xdr:cNvPr id="35" name="Straight Connector 34"/>
        <xdr:cNvCxnSpPr/>
      </xdr:nvCxnSpPr>
      <xdr:spPr>
        <a:xfrm flipV="1">
          <a:off x="2266950" y="3543301"/>
          <a:ext cx="222885" cy="41909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285750</xdr:colOff>
      <xdr:row>19</xdr:row>
      <xdr:rowOff>19051</xdr:rowOff>
    </xdr:from>
    <xdr:to>
      <xdr:col>7</xdr:col>
      <xdr:colOff>108585</xdr:colOff>
      <xdr:row>21</xdr:row>
      <xdr:rowOff>114300</xdr:rowOff>
    </xdr:to>
    <xdr:cxnSp macro="">
      <xdr:nvCxnSpPr>
        <xdr:cNvPr id="36" name="Straight Connector 35"/>
        <xdr:cNvCxnSpPr/>
      </xdr:nvCxnSpPr>
      <xdr:spPr>
        <a:xfrm flipV="1">
          <a:off x="2628900" y="3505201"/>
          <a:ext cx="232410" cy="47624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371474</xdr:colOff>
      <xdr:row>20</xdr:row>
      <xdr:rowOff>76200</xdr:rowOff>
    </xdr:from>
    <xdr:to>
      <xdr:col>6</xdr:col>
      <xdr:colOff>314324</xdr:colOff>
      <xdr:row>21</xdr:row>
      <xdr:rowOff>142875</xdr:rowOff>
    </xdr:to>
    <xdr:sp macro="" textlink="">
      <xdr:nvSpPr>
        <xdr:cNvPr id="37" name="TextBox 36"/>
        <xdr:cNvSpPr txBox="1"/>
      </xdr:nvSpPr>
      <xdr:spPr>
        <a:xfrm>
          <a:off x="2305049" y="3752850"/>
          <a:ext cx="3524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Lk</a:t>
          </a:r>
        </a:p>
      </xdr:txBody>
    </xdr:sp>
    <xdr:clientData/>
  </xdr:twoCellAnchor>
  <xdr:twoCellAnchor>
    <xdr:from>
      <xdr:col>5</xdr:col>
      <xdr:colOff>323850</xdr:colOff>
      <xdr:row>21</xdr:row>
      <xdr:rowOff>123825</xdr:rowOff>
    </xdr:from>
    <xdr:to>
      <xdr:col>6</xdr:col>
      <xdr:colOff>304800</xdr:colOff>
      <xdr:row>21</xdr:row>
      <xdr:rowOff>133352</xdr:rowOff>
    </xdr:to>
    <xdr:cxnSp macro="">
      <xdr:nvCxnSpPr>
        <xdr:cNvPr id="38" name="Straight Arrow Connector 37"/>
        <xdr:cNvCxnSpPr/>
      </xdr:nvCxnSpPr>
      <xdr:spPr>
        <a:xfrm flipV="1">
          <a:off x="2257425" y="3990975"/>
          <a:ext cx="390525" cy="9527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361950</xdr:colOff>
      <xdr:row>16</xdr:row>
      <xdr:rowOff>66675</xdr:rowOff>
    </xdr:from>
    <xdr:to>
      <xdr:col>6</xdr:col>
      <xdr:colOff>342900</xdr:colOff>
      <xdr:row>16</xdr:row>
      <xdr:rowOff>66675</xdr:rowOff>
    </xdr:to>
    <xdr:cxnSp macro="">
      <xdr:nvCxnSpPr>
        <xdr:cNvPr id="46" name="Straight Connector 45"/>
        <xdr:cNvCxnSpPr/>
      </xdr:nvCxnSpPr>
      <xdr:spPr>
        <a:xfrm>
          <a:off x="1885950" y="2981325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390525</xdr:colOff>
      <xdr:row>18</xdr:row>
      <xdr:rowOff>180975</xdr:rowOff>
    </xdr:from>
    <xdr:to>
      <xdr:col>6</xdr:col>
      <xdr:colOff>142875</xdr:colOff>
      <xdr:row>19</xdr:row>
      <xdr:rowOff>0</xdr:rowOff>
    </xdr:to>
    <xdr:cxnSp macro="">
      <xdr:nvCxnSpPr>
        <xdr:cNvPr id="47" name="Straight Connector 46"/>
        <xdr:cNvCxnSpPr/>
      </xdr:nvCxnSpPr>
      <xdr:spPr>
        <a:xfrm flipV="1">
          <a:off x="1914525" y="3476625"/>
          <a:ext cx="57150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390525</xdr:colOff>
      <xdr:row>16</xdr:row>
      <xdr:rowOff>76200</xdr:rowOff>
    </xdr:from>
    <xdr:to>
      <xdr:col>4</xdr:col>
      <xdr:colOff>390525</xdr:colOff>
      <xdr:row>19</xdr:row>
      <xdr:rowOff>0</xdr:rowOff>
    </xdr:to>
    <xdr:cxnSp macro="">
      <xdr:nvCxnSpPr>
        <xdr:cNvPr id="48" name="Straight Arrow Connector 47"/>
        <xdr:cNvCxnSpPr/>
      </xdr:nvCxnSpPr>
      <xdr:spPr>
        <a:xfrm>
          <a:off x="1914525" y="2990850"/>
          <a:ext cx="0" cy="49530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9524</xdr:colOff>
      <xdr:row>17</xdr:row>
      <xdr:rowOff>9525</xdr:rowOff>
    </xdr:from>
    <xdr:to>
      <xdr:col>5</xdr:col>
      <xdr:colOff>400049</xdr:colOff>
      <xdr:row>18</xdr:row>
      <xdr:rowOff>76200</xdr:rowOff>
    </xdr:to>
    <xdr:sp macro="" textlink="">
      <xdr:nvSpPr>
        <xdr:cNvPr id="49" name="TextBox 48"/>
        <xdr:cNvSpPr txBox="1"/>
      </xdr:nvSpPr>
      <xdr:spPr>
        <a:xfrm>
          <a:off x="1943099" y="3114675"/>
          <a:ext cx="3905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pk</a:t>
          </a:r>
        </a:p>
      </xdr:txBody>
    </xdr:sp>
    <xdr:clientData/>
  </xdr:twoCellAnchor>
  <xdr:twoCellAnchor>
    <xdr:from>
      <xdr:col>7</xdr:col>
      <xdr:colOff>333375</xdr:colOff>
      <xdr:row>15</xdr:row>
      <xdr:rowOff>95250</xdr:rowOff>
    </xdr:from>
    <xdr:to>
      <xdr:col>8</xdr:col>
      <xdr:colOff>180975</xdr:colOff>
      <xdr:row>16</xdr:row>
      <xdr:rowOff>28576</xdr:rowOff>
    </xdr:to>
    <xdr:cxnSp macro="">
      <xdr:nvCxnSpPr>
        <xdr:cNvPr id="53" name="Straight Arrow Connector 52"/>
        <xdr:cNvCxnSpPr/>
      </xdr:nvCxnSpPr>
      <xdr:spPr>
        <a:xfrm>
          <a:off x="3086100" y="2819400"/>
          <a:ext cx="257175" cy="123826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9525</xdr:colOff>
      <xdr:row>14</xdr:row>
      <xdr:rowOff>104775</xdr:rowOff>
    </xdr:from>
    <xdr:to>
      <xdr:col>8</xdr:col>
      <xdr:colOff>361950</xdr:colOff>
      <xdr:row>15</xdr:row>
      <xdr:rowOff>171450</xdr:rowOff>
    </xdr:to>
    <xdr:sp macro="" textlink="">
      <xdr:nvSpPr>
        <xdr:cNvPr id="55" name="TextBox 54"/>
        <xdr:cNvSpPr txBox="1"/>
      </xdr:nvSpPr>
      <xdr:spPr>
        <a:xfrm>
          <a:off x="3171825" y="2638425"/>
          <a:ext cx="3524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tp</a:t>
          </a:r>
        </a:p>
      </xdr:txBody>
    </xdr:sp>
    <xdr:clientData/>
  </xdr:twoCellAnchor>
  <xdr:twoCellAnchor>
    <xdr:from>
      <xdr:col>4</xdr:col>
      <xdr:colOff>266700</xdr:colOff>
      <xdr:row>28</xdr:row>
      <xdr:rowOff>28575</xdr:rowOff>
    </xdr:from>
    <xdr:to>
      <xdr:col>9</xdr:col>
      <xdr:colOff>152400</xdr:colOff>
      <xdr:row>30</xdr:row>
      <xdr:rowOff>161925</xdr:rowOff>
    </xdr:to>
    <xdr:sp macro="" textlink="">
      <xdr:nvSpPr>
        <xdr:cNvPr id="44" name="Flowchart: Direct Access Storage 43"/>
        <xdr:cNvSpPr/>
      </xdr:nvSpPr>
      <xdr:spPr>
        <a:xfrm>
          <a:off x="2057400" y="7896225"/>
          <a:ext cx="2124075" cy="514350"/>
        </a:xfrm>
        <a:prstGeom prst="flowChartMagneticDrum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142875</xdr:colOff>
      <xdr:row>30</xdr:row>
      <xdr:rowOff>180975</xdr:rowOff>
    </xdr:from>
    <xdr:to>
      <xdr:col>8</xdr:col>
      <xdr:colOff>57150</xdr:colOff>
      <xdr:row>31</xdr:row>
      <xdr:rowOff>142875</xdr:rowOff>
    </xdr:to>
    <xdr:sp macro="" textlink="">
      <xdr:nvSpPr>
        <xdr:cNvPr id="45" name="Flowchart: Data 44"/>
        <xdr:cNvSpPr/>
      </xdr:nvSpPr>
      <xdr:spPr>
        <a:xfrm>
          <a:off x="3276600" y="2333625"/>
          <a:ext cx="3619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123823</xdr:colOff>
      <xdr:row>30</xdr:row>
      <xdr:rowOff>180974</xdr:rowOff>
    </xdr:from>
    <xdr:to>
      <xdr:col>9</xdr:col>
      <xdr:colOff>28574</xdr:colOff>
      <xdr:row>31</xdr:row>
      <xdr:rowOff>133349</xdr:rowOff>
    </xdr:to>
    <xdr:sp macro="" textlink="">
      <xdr:nvSpPr>
        <xdr:cNvPr id="50" name="Flowchart: Data 49"/>
        <xdr:cNvSpPr/>
      </xdr:nvSpPr>
      <xdr:spPr>
        <a:xfrm flipH="1">
          <a:off x="3705223" y="2333624"/>
          <a:ext cx="3524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28575</xdr:colOff>
      <xdr:row>31</xdr:row>
      <xdr:rowOff>1</xdr:rowOff>
    </xdr:from>
    <xdr:to>
      <xdr:col>5</xdr:col>
      <xdr:colOff>352425</xdr:colOff>
      <xdr:row>31</xdr:row>
      <xdr:rowOff>152401</xdr:rowOff>
    </xdr:to>
    <xdr:sp macro="" textlink="">
      <xdr:nvSpPr>
        <xdr:cNvPr id="51" name="Flowchart: Data 50"/>
        <xdr:cNvSpPr/>
      </xdr:nvSpPr>
      <xdr:spPr>
        <a:xfrm>
          <a:off x="2266950" y="2343151"/>
          <a:ext cx="3238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9523</xdr:colOff>
      <xdr:row>31</xdr:row>
      <xdr:rowOff>0</xdr:rowOff>
    </xdr:from>
    <xdr:to>
      <xdr:col>6</xdr:col>
      <xdr:colOff>323849</xdr:colOff>
      <xdr:row>31</xdr:row>
      <xdr:rowOff>142875</xdr:rowOff>
    </xdr:to>
    <xdr:sp macro="" textlink="">
      <xdr:nvSpPr>
        <xdr:cNvPr id="52" name="Flowchart: Data 51"/>
        <xdr:cNvSpPr/>
      </xdr:nvSpPr>
      <xdr:spPr>
        <a:xfrm flipH="1">
          <a:off x="2695573" y="2343150"/>
          <a:ext cx="3143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209550</xdr:colOff>
      <xdr:row>27</xdr:row>
      <xdr:rowOff>9525</xdr:rowOff>
    </xdr:from>
    <xdr:to>
      <xdr:col>7</xdr:col>
      <xdr:colOff>9525</xdr:colOff>
      <xdr:row>28</xdr:row>
      <xdr:rowOff>28575</xdr:rowOff>
    </xdr:to>
    <xdr:sp macro="" textlink="">
      <xdr:nvSpPr>
        <xdr:cNvPr id="54" name="Can 53"/>
        <xdr:cNvSpPr/>
      </xdr:nvSpPr>
      <xdr:spPr>
        <a:xfrm>
          <a:off x="2895600" y="7686675"/>
          <a:ext cx="247650" cy="209550"/>
        </a:xfrm>
        <a:prstGeom prst="ca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200025</xdr:colOff>
      <xdr:row>28</xdr:row>
      <xdr:rowOff>19050</xdr:rowOff>
    </xdr:from>
    <xdr:to>
      <xdr:col>10</xdr:col>
      <xdr:colOff>180975</xdr:colOff>
      <xdr:row>28</xdr:row>
      <xdr:rowOff>19050</xdr:rowOff>
    </xdr:to>
    <xdr:cxnSp macro="">
      <xdr:nvCxnSpPr>
        <xdr:cNvPr id="56" name="Straight Connector 55"/>
        <xdr:cNvCxnSpPr/>
      </xdr:nvCxnSpPr>
      <xdr:spPr>
        <a:xfrm>
          <a:off x="3781425" y="7886700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209550</xdr:colOff>
      <xdr:row>30</xdr:row>
      <xdr:rowOff>152400</xdr:rowOff>
    </xdr:from>
    <xdr:to>
      <xdr:col>10</xdr:col>
      <xdr:colOff>190500</xdr:colOff>
      <xdr:row>30</xdr:row>
      <xdr:rowOff>152400</xdr:rowOff>
    </xdr:to>
    <xdr:cxnSp macro="">
      <xdr:nvCxnSpPr>
        <xdr:cNvPr id="57" name="Straight Connector 56"/>
        <xdr:cNvCxnSpPr/>
      </xdr:nvCxnSpPr>
      <xdr:spPr>
        <a:xfrm>
          <a:off x="3790950" y="2305050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361950</xdr:colOff>
      <xdr:row>28</xdr:row>
      <xdr:rowOff>28575</xdr:rowOff>
    </xdr:from>
    <xdr:to>
      <xdr:col>9</xdr:col>
      <xdr:colOff>361950</xdr:colOff>
      <xdr:row>30</xdr:row>
      <xdr:rowOff>152400</xdr:rowOff>
    </xdr:to>
    <xdr:cxnSp macro="">
      <xdr:nvCxnSpPr>
        <xdr:cNvPr id="58" name="Straight Arrow Connector 57"/>
        <xdr:cNvCxnSpPr/>
      </xdr:nvCxnSpPr>
      <xdr:spPr>
        <a:xfrm>
          <a:off x="4391025" y="7896225"/>
          <a:ext cx="0" cy="5048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28</xdr:row>
      <xdr:rowOff>133350</xdr:rowOff>
    </xdr:from>
    <xdr:to>
      <xdr:col>10</xdr:col>
      <xdr:colOff>304800</xdr:colOff>
      <xdr:row>30</xdr:row>
      <xdr:rowOff>9525</xdr:rowOff>
    </xdr:to>
    <xdr:sp macro="" textlink="">
      <xdr:nvSpPr>
        <xdr:cNvPr id="59" name="TextBox 58"/>
        <xdr:cNvSpPr txBox="1"/>
      </xdr:nvSpPr>
      <xdr:spPr>
        <a:xfrm>
          <a:off x="4476750" y="8001000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</a:t>
          </a:r>
        </a:p>
      </xdr:txBody>
    </xdr:sp>
    <xdr:clientData/>
  </xdr:twoCellAnchor>
  <xdr:twoCellAnchor>
    <xdr:from>
      <xdr:col>4</xdr:col>
      <xdr:colOff>266700</xdr:colOff>
      <xdr:row>28</xdr:row>
      <xdr:rowOff>133350</xdr:rowOff>
    </xdr:from>
    <xdr:to>
      <xdr:col>4</xdr:col>
      <xdr:colOff>266700</xdr:colOff>
      <xdr:row>30</xdr:row>
      <xdr:rowOff>90488</xdr:rowOff>
    </xdr:to>
    <xdr:cxnSp macro="">
      <xdr:nvCxnSpPr>
        <xdr:cNvPr id="60" name="Straight Connector 59"/>
        <xdr:cNvCxnSpPr/>
      </xdr:nvCxnSpPr>
      <xdr:spPr>
        <a:xfrm flipV="1">
          <a:off x="2057400" y="800100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323850</xdr:colOff>
      <xdr:row>28</xdr:row>
      <xdr:rowOff>104775</xdr:rowOff>
    </xdr:from>
    <xdr:to>
      <xdr:col>7</xdr:col>
      <xdr:colOff>323850</xdr:colOff>
      <xdr:row>30</xdr:row>
      <xdr:rowOff>61913</xdr:rowOff>
    </xdr:to>
    <xdr:cxnSp macro="">
      <xdr:nvCxnSpPr>
        <xdr:cNvPr id="61" name="Straight Connector 60"/>
        <xdr:cNvCxnSpPr/>
      </xdr:nvCxnSpPr>
      <xdr:spPr>
        <a:xfrm flipV="1">
          <a:off x="3457575" y="797242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266700</xdr:colOff>
      <xdr:row>29</xdr:row>
      <xdr:rowOff>95250</xdr:rowOff>
    </xdr:from>
    <xdr:to>
      <xdr:col>7</xdr:col>
      <xdr:colOff>339725</xdr:colOff>
      <xdr:row>29</xdr:row>
      <xdr:rowOff>95250</xdr:rowOff>
    </xdr:to>
    <xdr:cxnSp macro="">
      <xdr:nvCxnSpPr>
        <xdr:cNvPr id="62" name="Straight Arrow Connector 61"/>
        <xdr:cNvCxnSpPr>
          <a:stCxn id="44" idx="1"/>
          <a:endCxn id="44" idx="3"/>
        </xdr:cNvCxnSpPr>
      </xdr:nvCxnSpPr>
      <xdr:spPr>
        <a:xfrm>
          <a:off x="2057400" y="8153400"/>
          <a:ext cx="1416050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361950</xdr:colOff>
      <xdr:row>28</xdr:row>
      <xdr:rowOff>133350</xdr:rowOff>
    </xdr:from>
    <xdr:to>
      <xdr:col>6</xdr:col>
      <xdr:colOff>257175</xdr:colOff>
      <xdr:row>30</xdr:row>
      <xdr:rowOff>9525</xdr:rowOff>
    </xdr:to>
    <xdr:sp macro="" textlink="">
      <xdr:nvSpPr>
        <xdr:cNvPr id="63" name="TextBox 62"/>
        <xdr:cNvSpPr txBox="1"/>
      </xdr:nvSpPr>
      <xdr:spPr>
        <a:xfrm>
          <a:off x="2600325" y="8001000"/>
          <a:ext cx="3429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</a:t>
          </a:r>
        </a:p>
      </xdr:txBody>
    </xdr:sp>
    <xdr:clientData/>
  </xdr:twoCellAnchor>
  <xdr:twoCellAnchor>
    <xdr:from>
      <xdr:col>6</xdr:col>
      <xdr:colOff>200025</xdr:colOff>
      <xdr:row>25</xdr:row>
      <xdr:rowOff>66675</xdr:rowOff>
    </xdr:from>
    <xdr:to>
      <xdr:col>6</xdr:col>
      <xdr:colOff>200025</xdr:colOff>
      <xdr:row>27</xdr:row>
      <xdr:rowOff>23813</xdr:rowOff>
    </xdr:to>
    <xdr:cxnSp macro="">
      <xdr:nvCxnSpPr>
        <xdr:cNvPr id="64" name="Straight Connector 63"/>
        <xdr:cNvCxnSpPr/>
      </xdr:nvCxnSpPr>
      <xdr:spPr>
        <a:xfrm flipV="1">
          <a:off x="2886075" y="736282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25</xdr:row>
      <xdr:rowOff>66675</xdr:rowOff>
    </xdr:from>
    <xdr:to>
      <xdr:col>7</xdr:col>
      <xdr:colOff>19050</xdr:colOff>
      <xdr:row>27</xdr:row>
      <xdr:rowOff>23813</xdr:rowOff>
    </xdr:to>
    <xdr:cxnSp macro="">
      <xdr:nvCxnSpPr>
        <xdr:cNvPr id="65" name="Straight Connector 64"/>
        <xdr:cNvCxnSpPr/>
      </xdr:nvCxnSpPr>
      <xdr:spPr>
        <a:xfrm flipV="1">
          <a:off x="3152775" y="736282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200025</xdr:colOff>
      <xdr:row>25</xdr:row>
      <xdr:rowOff>85725</xdr:rowOff>
    </xdr:from>
    <xdr:to>
      <xdr:col>7</xdr:col>
      <xdr:colOff>19050</xdr:colOff>
      <xdr:row>25</xdr:row>
      <xdr:rowOff>95250</xdr:rowOff>
    </xdr:to>
    <xdr:cxnSp macro="">
      <xdr:nvCxnSpPr>
        <xdr:cNvPr id="66" name="Straight Arrow Connector 65"/>
        <xdr:cNvCxnSpPr/>
      </xdr:nvCxnSpPr>
      <xdr:spPr>
        <a:xfrm flipV="1">
          <a:off x="2886075" y="7381875"/>
          <a:ext cx="2667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180975</xdr:colOff>
      <xdr:row>23</xdr:row>
      <xdr:rowOff>133350</xdr:rowOff>
    </xdr:from>
    <xdr:to>
      <xdr:col>7</xdr:col>
      <xdr:colOff>76200</xdr:colOff>
      <xdr:row>25</xdr:row>
      <xdr:rowOff>9525</xdr:rowOff>
    </xdr:to>
    <xdr:sp macro="" textlink="">
      <xdr:nvSpPr>
        <xdr:cNvPr id="67" name="TextBox 66"/>
        <xdr:cNvSpPr txBox="1"/>
      </xdr:nvSpPr>
      <xdr:spPr>
        <a:xfrm>
          <a:off x="2867025" y="7048500"/>
          <a:ext cx="3429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dt</a:t>
          </a:r>
        </a:p>
      </xdr:txBody>
    </xdr:sp>
    <xdr:clientData/>
  </xdr:twoCellAnchor>
  <xdr:twoCellAnchor>
    <xdr:from>
      <xdr:col>6</xdr:col>
      <xdr:colOff>428625</xdr:colOff>
      <xdr:row>27</xdr:row>
      <xdr:rowOff>28575</xdr:rowOff>
    </xdr:from>
    <xdr:to>
      <xdr:col>8</xdr:col>
      <xdr:colOff>409575</xdr:colOff>
      <xdr:row>27</xdr:row>
      <xdr:rowOff>28575</xdr:rowOff>
    </xdr:to>
    <xdr:cxnSp macro="">
      <xdr:nvCxnSpPr>
        <xdr:cNvPr id="68" name="Straight Connector 67"/>
        <xdr:cNvCxnSpPr/>
      </xdr:nvCxnSpPr>
      <xdr:spPr>
        <a:xfrm>
          <a:off x="3114675" y="7705725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342900</xdr:colOff>
      <xdr:row>27</xdr:row>
      <xdr:rowOff>28575</xdr:rowOff>
    </xdr:from>
    <xdr:to>
      <xdr:col>8</xdr:col>
      <xdr:colOff>342901</xdr:colOff>
      <xdr:row>28</xdr:row>
      <xdr:rowOff>19050</xdr:rowOff>
    </xdr:to>
    <xdr:cxnSp macro="">
      <xdr:nvCxnSpPr>
        <xdr:cNvPr id="69" name="Straight Arrow Connector 68"/>
        <xdr:cNvCxnSpPr/>
      </xdr:nvCxnSpPr>
      <xdr:spPr>
        <a:xfrm>
          <a:off x="3924300" y="770572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400050</xdr:colOff>
      <xdr:row>26</xdr:row>
      <xdr:rowOff>161925</xdr:rowOff>
    </xdr:from>
    <xdr:to>
      <xdr:col>9</xdr:col>
      <xdr:colOff>257175</xdr:colOff>
      <xdr:row>28</xdr:row>
      <xdr:rowOff>38100</xdr:rowOff>
    </xdr:to>
    <xdr:sp macro="" textlink="">
      <xdr:nvSpPr>
        <xdr:cNvPr id="70" name="TextBox 69"/>
        <xdr:cNvSpPr txBox="1"/>
      </xdr:nvSpPr>
      <xdr:spPr>
        <a:xfrm>
          <a:off x="3981450" y="7648575"/>
          <a:ext cx="3048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tt</a:t>
          </a:r>
        </a:p>
      </xdr:txBody>
    </xdr:sp>
    <xdr:clientData/>
  </xdr:twoCellAnchor>
  <xdr:twoCellAnchor>
    <xdr:from>
      <xdr:col>4</xdr:col>
      <xdr:colOff>295275</xdr:colOff>
      <xdr:row>31</xdr:row>
      <xdr:rowOff>76201</xdr:rowOff>
    </xdr:from>
    <xdr:to>
      <xdr:col>5</xdr:col>
      <xdr:colOff>60960</xdr:colOff>
      <xdr:row>33</xdr:row>
      <xdr:rowOff>104775</xdr:rowOff>
    </xdr:to>
    <xdr:cxnSp macro="">
      <xdr:nvCxnSpPr>
        <xdr:cNvPr id="71" name="Straight Connector 70"/>
        <xdr:cNvCxnSpPr>
          <a:endCxn id="51" idx="2"/>
        </xdr:cNvCxnSpPr>
      </xdr:nvCxnSpPr>
      <xdr:spPr>
        <a:xfrm flipV="1">
          <a:off x="2085975" y="2419351"/>
          <a:ext cx="2133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31</xdr:row>
      <xdr:rowOff>66675</xdr:rowOff>
    </xdr:from>
    <xdr:to>
      <xdr:col>5</xdr:col>
      <xdr:colOff>327660</xdr:colOff>
      <xdr:row>33</xdr:row>
      <xdr:rowOff>95249</xdr:rowOff>
    </xdr:to>
    <xdr:cxnSp macro="">
      <xdr:nvCxnSpPr>
        <xdr:cNvPr id="72" name="Straight Connector 71"/>
        <xdr:cNvCxnSpPr/>
      </xdr:nvCxnSpPr>
      <xdr:spPr>
        <a:xfrm flipV="1">
          <a:off x="2390775" y="2409825"/>
          <a:ext cx="1752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304800</xdr:colOff>
      <xdr:row>33</xdr:row>
      <xdr:rowOff>104775</xdr:rowOff>
    </xdr:from>
    <xdr:to>
      <xdr:col>5</xdr:col>
      <xdr:colOff>123825</xdr:colOff>
      <xdr:row>33</xdr:row>
      <xdr:rowOff>114300</xdr:rowOff>
    </xdr:to>
    <xdr:cxnSp macro="">
      <xdr:nvCxnSpPr>
        <xdr:cNvPr id="73" name="Straight Arrow Connector 72"/>
        <xdr:cNvCxnSpPr/>
      </xdr:nvCxnSpPr>
      <xdr:spPr>
        <a:xfrm flipV="1">
          <a:off x="2095500" y="2828925"/>
          <a:ext cx="2667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285749</xdr:colOff>
      <xdr:row>32</xdr:row>
      <xdr:rowOff>85725</xdr:rowOff>
    </xdr:from>
    <xdr:to>
      <xdr:col>5</xdr:col>
      <xdr:colOff>228599</xdr:colOff>
      <xdr:row>33</xdr:row>
      <xdr:rowOff>152400</xdr:rowOff>
    </xdr:to>
    <xdr:sp macro="" textlink="">
      <xdr:nvSpPr>
        <xdr:cNvPr id="74" name="TextBox 73"/>
        <xdr:cNvSpPr txBox="1"/>
      </xdr:nvSpPr>
      <xdr:spPr>
        <a:xfrm>
          <a:off x="2076449" y="2619375"/>
          <a:ext cx="3905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Lk</a:t>
          </a:r>
        </a:p>
      </xdr:txBody>
    </xdr:sp>
    <xdr:clientData/>
  </xdr:twoCellAnchor>
  <xdr:twoCellAnchor>
    <xdr:from>
      <xdr:col>3</xdr:col>
      <xdr:colOff>238125</xdr:colOff>
      <xdr:row>31</xdr:row>
      <xdr:rowOff>0</xdr:rowOff>
    </xdr:from>
    <xdr:to>
      <xdr:col>5</xdr:col>
      <xdr:colOff>219075</xdr:colOff>
      <xdr:row>31</xdr:row>
      <xdr:rowOff>0</xdr:rowOff>
    </xdr:to>
    <xdr:cxnSp macro="">
      <xdr:nvCxnSpPr>
        <xdr:cNvPr id="75" name="Straight Connector 74"/>
        <xdr:cNvCxnSpPr/>
      </xdr:nvCxnSpPr>
      <xdr:spPr>
        <a:xfrm>
          <a:off x="1581150" y="2343150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31</xdr:row>
      <xdr:rowOff>152400</xdr:rowOff>
    </xdr:from>
    <xdr:to>
      <xdr:col>5</xdr:col>
      <xdr:colOff>238125</xdr:colOff>
      <xdr:row>31</xdr:row>
      <xdr:rowOff>152400</xdr:rowOff>
    </xdr:to>
    <xdr:cxnSp macro="">
      <xdr:nvCxnSpPr>
        <xdr:cNvPr id="76" name="Straight Connector 75"/>
        <xdr:cNvCxnSpPr/>
      </xdr:nvCxnSpPr>
      <xdr:spPr>
        <a:xfrm>
          <a:off x="1600200" y="2495550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323850</xdr:colOff>
      <xdr:row>30</xdr:row>
      <xdr:rowOff>180975</xdr:rowOff>
    </xdr:from>
    <xdr:to>
      <xdr:col>3</xdr:col>
      <xdr:colOff>323851</xdr:colOff>
      <xdr:row>31</xdr:row>
      <xdr:rowOff>171450</xdr:rowOff>
    </xdr:to>
    <xdr:cxnSp macro="">
      <xdr:nvCxnSpPr>
        <xdr:cNvPr id="77" name="Straight Arrow Connector 76"/>
        <xdr:cNvCxnSpPr/>
      </xdr:nvCxnSpPr>
      <xdr:spPr>
        <a:xfrm>
          <a:off x="1666875" y="233362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380999</xdr:colOff>
      <xdr:row>30</xdr:row>
      <xdr:rowOff>123825</xdr:rowOff>
    </xdr:from>
    <xdr:to>
      <xdr:col>4</xdr:col>
      <xdr:colOff>361949</xdr:colOff>
      <xdr:row>32</xdr:row>
      <xdr:rowOff>0</xdr:rowOff>
    </xdr:to>
    <xdr:sp macro="" textlink="">
      <xdr:nvSpPr>
        <xdr:cNvPr id="78" name="TextBox 77"/>
        <xdr:cNvSpPr txBox="1"/>
      </xdr:nvSpPr>
      <xdr:spPr>
        <a:xfrm>
          <a:off x="1724024" y="2276475"/>
          <a:ext cx="4286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pk</a:t>
          </a:r>
        </a:p>
      </xdr:txBody>
    </xdr:sp>
    <xdr:clientData/>
  </xdr:twoCellAnchor>
  <xdr:twoCellAnchor>
    <xdr:from>
      <xdr:col>8</xdr:col>
      <xdr:colOff>19050</xdr:colOff>
      <xdr:row>9</xdr:row>
      <xdr:rowOff>133350</xdr:rowOff>
    </xdr:from>
    <xdr:to>
      <xdr:col>8</xdr:col>
      <xdr:colOff>19050</xdr:colOff>
      <xdr:row>11</xdr:row>
      <xdr:rowOff>90488</xdr:rowOff>
    </xdr:to>
    <xdr:cxnSp macro="">
      <xdr:nvCxnSpPr>
        <xdr:cNvPr id="84" name="Straight Connector 83"/>
        <xdr:cNvCxnSpPr/>
      </xdr:nvCxnSpPr>
      <xdr:spPr>
        <a:xfrm flipV="1">
          <a:off x="3600450" y="190500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161925</xdr:colOff>
      <xdr:row>28</xdr:row>
      <xdr:rowOff>114300</xdr:rowOff>
    </xdr:from>
    <xdr:to>
      <xdr:col>9</xdr:col>
      <xdr:colOff>161925</xdr:colOff>
      <xdr:row>30</xdr:row>
      <xdr:rowOff>71438</xdr:rowOff>
    </xdr:to>
    <xdr:cxnSp macro="">
      <xdr:nvCxnSpPr>
        <xdr:cNvPr id="85" name="Straight Connector 84"/>
        <xdr:cNvCxnSpPr/>
      </xdr:nvCxnSpPr>
      <xdr:spPr>
        <a:xfrm flipV="1">
          <a:off x="4191000" y="798195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333375</xdr:colOff>
      <xdr:row>29</xdr:row>
      <xdr:rowOff>95250</xdr:rowOff>
    </xdr:from>
    <xdr:to>
      <xdr:col>9</xdr:col>
      <xdr:colOff>152400</xdr:colOff>
      <xdr:row>29</xdr:row>
      <xdr:rowOff>95250</xdr:rowOff>
    </xdr:to>
    <xdr:cxnSp macro="">
      <xdr:nvCxnSpPr>
        <xdr:cNvPr id="86" name="Straight Arrow Connector 85"/>
        <xdr:cNvCxnSpPr>
          <a:endCxn id="44" idx="4"/>
        </xdr:cNvCxnSpPr>
      </xdr:nvCxnSpPr>
      <xdr:spPr>
        <a:xfrm>
          <a:off x="3467100" y="8153400"/>
          <a:ext cx="714375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28</xdr:row>
      <xdr:rowOff>123825</xdr:rowOff>
    </xdr:from>
    <xdr:to>
      <xdr:col>8</xdr:col>
      <xdr:colOff>419100</xdr:colOff>
      <xdr:row>30</xdr:row>
      <xdr:rowOff>0</xdr:rowOff>
    </xdr:to>
    <xdr:sp macro="" textlink="">
      <xdr:nvSpPr>
        <xdr:cNvPr id="89" name="TextBox 88"/>
        <xdr:cNvSpPr txBox="1"/>
      </xdr:nvSpPr>
      <xdr:spPr>
        <a:xfrm>
          <a:off x="3657600" y="7991475"/>
          <a:ext cx="3429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5855</xdr:row>
      <xdr:rowOff>9525</xdr:rowOff>
    </xdr:from>
    <xdr:to>
      <xdr:col>1</xdr:col>
      <xdr:colOff>595975</xdr:colOff>
      <xdr:row>5855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5944</xdr:row>
      <xdr:rowOff>161925</xdr:rowOff>
    </xdr:from>
    <xdr:to>
      <xdr:col>1</xdr:col>
      <xdr:colOff>543778</xdr:colOff>
      <xdr:row>5945</xdr:row>
      <xdr:rowOff>31426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5999</xdr:row>
      <xdr:rowOff>0</xdr:rowOff>
    </xdr:from>
    <xdr:to>
      <xdr:col>1</xdr:col>
      <xdr:colOff>628614</xdr:colOff>
      <xdr:row>5999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5801</xdr:row>
      <xdr:rowOff>9525</xdr:rowOff>
    </xdr:from>
    <xdr:to>
      <xdr:col>1</xdr:col>
      <xdr:colOff>595975</xdr:colOff>
      <xdr:row>5801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5761</xdr:row>
      <xdr:rowOff>9525</xdr:rowOff>
    </xdr:from>
    <xdr:to>
      <xdr:col>1</xdr:col>
      <xdr:colOff>595975</xdr:colOff>
      <xdr:row>5761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6040</xdr:row>
      <xdr:rowOff>0</xdr:rowOff>
    </xdr:from>
    <xdr:to>
      <xdr:col>1</xdr:col>
      <xdr:colOff>477103</xdr:colOff>
      <xdr:row>6040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1548</xdr:row>
      <xdr:rowOff>180975</xdr:rowOff>
    </xdr:from>
    <xdr:to>
      <xdr:col>1</xdr:col>
      <xdr:colOff>4476750</xdr:colOff>
      <xdr:row>1551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1584</xdr:row>
      <xdr:rowOff>180975</xdr:rowOff>
    </xdr:from>
    <xdr:to>
      <xdr:col>1</xdr:col>
      <xdr:colOff>4476750</xdr:colOff>
      <xdr:row>1587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1656</xdr:row>
      <xdr:rowOff>180975</xdr:rowOff>
    </xdr:from>
    <xdr:to>
      <xdr:col>1</xdr:col>
      <xdr:colOff>4476750</xdr:colOff>
      <xdr:row>1659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1620</xdr:row>
      <xdr:rowOff>180975</xdr:rowOff>
    </xdr:from>
    <xdr:to>
      <xdr:col>1</xdr:col>
      <xdr:colOff>4476750</xdr:colOff>
      <xdr:row>1623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1695</xdr:row>
      <xdr:rowOff>72118</xdr:rowOff>
    </xdr:from>
    <xdr:to>
      <xdr:col>1</xdr:col>
      <xdr:colOff>3333751</xdr:colOff>
      <xdr:row>1696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4321</xdr:row>
      <xdr:rowOff>9525</xdr:rowOff>
    </xdr:from>
    <xdr:to>
      <xdr:col>1</xdr:col>
      <xdr:colOff>171069</xdr:colOff>
      <xdr:row>4321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40426475"/>
          <a:ext cx="412623" cy="72278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4410</xdr:row>
      <xdr:rowOff>161925</xdr:rowOff>
    </xdr:from>
    <xdr:to>
      <xdr:col>1</xdr:col>
      <xdr:colOff>118872</xdr:colOff>
      <xdr:row>4411</xdr:row>
      <xdr:rowOff>22826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454132950"/>
          <a:ext cx="392049" cy="7420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4465</xdr:row>
      <xdr:rowOff>0</xdr:rowOff>
    </xdr:from>
    <xdr:to>
      <xdr:col>1</xdr:col>
      <xdr:colOff>132588</xdr:colOff>
      <xdr:row>4465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462362550"/>
          <a:ext cx="339471" cy="74071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4267</xdr:row>
      <xdr:rowOff>9525</xdr:rowOff>
    </xdr:from>
    <xdr:to>
      <xdr:col>1</xdr:col>
      <xdr:colOff>171069</xdr:colOff>
      <xdr:row>4267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432196875"/>
          <a:ext cx="412623" cy="6378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4227</xdr:row>
      <xdr:rowOff>9525</xdr:rowOff>
    </xdr:from>
    <xdr:to>
      <xdr:col>1</xdr:col>
      <xdr:colOff>171069</xdr:colOff>
      <xdr:row>4227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426100875"/>
          <a:ext cx="412623" cy="63783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4506</xdr:row>
      <xdr:rowOff>0</xdr:rowOff>
    </xdr:from>
    <xdr:to>
      <xdr:col>1</xdr:col>
      <xdr:colOff>52197</xdr:colOff>
      <xdr:row>4506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468610950"/>
          <a:ext cx="325374" cy="72278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2358</xdr:row>
      <xdr:rowOff>180975</xdr:rowOff>
    </xdr:from>
    <xdr:to>
      <xdr:col>1</xdr:col>
      <xdr:colOff>4476750</xdr:colOff>
      <xdr:row>2360</xdr:row>
      <xdr:rowOff>190500</xdr:rowOff>
    </xdr:to>
    <xdr:pic>
      <xdr:nvPicPr>
        <xdr:cNvPr id="7670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5271992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2306</xdr:row>
      <xdr:rowOff>180975</xdr:rowOff>
    </xdr:from>
    <xdr:to>
      <xdr:col>1</xdr:col>
      <xdr:colOff>4476750</xdr:colOff>
      <xdr:row>2308</xdr:row>
      <xdr:rowOff>190500</xdr:rowOff>
    </xdr:to>
    <xdr:pic>
      <xdr:nvPicPr>
        <xdr:cNvPr id="7670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5163121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2255</xdr:row>
      <xdr:rowOff>180975</xdr:rowOff>
    </xdr:from>
    <xdr:to>
      <xdr:col>1</xdr:col>
      <xdr:colOff>4476750</xdr:colOff>
      <xdr:row>2257</xdr:row>
      <xdr:rowOff>190500</xdr:rowOff>
    </xdr:to>
    <xdr:pic>
      <xdr:nvPicPr>
        <xdr:cNvPr id="7670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5056251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2218</xdr:row>
      <xdr:rowOff>180975</xdr:rowOff>
    </xdr:from>
    <xdr:to>
      <xdr:col>1</xdr:col>
      <xdr:colOff>4476750</xdr:colOff>
      <xdr:row>2220</xdr:row>
      <xdr:rowOff>190500</xdr:rowOff>
    </xdr:to>
    <xdr:pic>
      <xdr:nvPicPr>
        <xdr:cNvPr id="7670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977384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2167</xdr:row>
      <xdr:rowOff>180975</xdr:rowOff>
    </xdr:from>
    <xdr:to>
      <xdr:col>1</xdr:col>
      <xdr:colOff>4476750</xdr:colOff>
      <xdr:row>2169</xdr:row>
      <xdr:rowOff>190500</xdr:rowOff>
    </xdr:to>
    <xdr:pic>
      <xdr:nvPicPr>
        <xdr:cNvPr id="7670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870513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2126</xdr:row>
      <xdr:rowOff>180975</xdr:rowOff>
    </xdr:from>
    <xdr:to>
      <xdr:col>1</xdr:col>
      <xdr:colOff>4476750</xdr:colOff>
      <xdr:row>2128</xdr:row>
      <xdr:rowOff>190500</xdr:rowOff>
    </xdr:to>
    <xdr:pic>
      <xdr:nvPicPr>
        <xdr:cNvPr id="7670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784121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2092</xdr:row>
      <xdr:rowOff>180975</xdr:rowOff>
    </xdr:from>
    <xdr:to>
      <xdr:col>1</xdr:col>
      <xdr:colOff>4476750</xdr:colOff>
      <xdr:row>2094</xdr:row>
      <xdr:rowOff>190500</xdr:rowOff>
    </xdr:to>
    <xdr:pic>
      <xdr:nvPicPr>
        <xdr:cNvPr id="7670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712208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2051</xdr:row>
      <xdr:rowOff>180975</xdr:rowOff>
    </xdr:from>
    <xdr:to>
      <xdr:col>1</xdr:col>
      <xdr:colOff>4476750</xdr:colOff>
      <xdr:row>2053</xdr:row>
      <xdr:rowOff>190500</xdr:rowOff>
    </xdr:to>
    <xdr:pic>
      <xdr:nvPicPr>
        <xdr:cNvPr id="7670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623530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2009</xdr:row>
      <xdr:rowOff>180975</xdr:rowOff>
    </xdr:from>
    <xdr:to>
      <xdr:col>1</xdr:col>
      <xdr:colOff>4476750</xdr:colOff>
      <xdr:row>2011</xdr:row>
      <xdr:rowOff>190500</xdr:rowOff>
    </xdr:to>
    <xdr:pic>
      <xdr:nvPicPr>
        <xdr:cNvPr id="7671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525041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1962</xdr:row>
      <xdr:rowOff>180975</xdr:rowOff>
    </xdr:from>
    <xdr:to>
      <xdr:col>1</xdr:col>
      <xdr:colOff>4476750</xdr:colOff>
      <xdr:row>1964</xdr:row>
      <xdr:rowOff>66675</xdr:rowOff>
    </xdr:to>
    <xdr:pic>
      <xdr:nvPicPr>
        <xdr:cNvPr id="7671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42712475"/>
          <a:ext cx="45815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1907</xdr:row>
      <xdr:rowOff>180975</xdr:rowOff>
    </xdr:from>
    <xdr:to>
      <xdr:col>1</xdr:col>
      <xdr:colOff>4476750</xdr:colOff>
      <xdr:row>1909</xdr:row>
      <xdr:rowOff>190500</xdr:rowOff>
    </xdr:to>
    <xdr:pic>
      <xdr:nvPicPr>
        <xdr:cNvPr id="7671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313967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1863</xdr:row>
      <xdr:rowOff>180975</xdr:rowOff>
    </xdr:from>
    <xdr:to>
      <xdr:col>1</xdr:col>
      <xdr:colOff>4476750</xdr:colOff>
      <xdr:row>1865</xdr:row>
      <xdr:rowOff>190500</xdr:rowOff>
    </xdr:to>
    <xdr:pic>
      <xdr:nvPicPr>
        <xdr:cNvPr id="7671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223004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1819</xdr:row>
      <xdr:rowOff>180975</xdr:rowOff>
    </xdr:from>
    <xdr:to>
      <xdr:col>1</xdr:col>
      <xdr:colOff>4476750</xdr:colOff>
      <xdr:row>1821</xdr:row>
      <xdr:rowOff>190500</xdr:rowOff>
    </xdr:to>
    <xdr:pic>
      <xdr:nvPicPr>
        <xdr:cNvPr id="7671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12032450"/>
          <a:ext cx="458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1786</xdr:row>
      <xdr:rowOff>180975</xdr:rowOff>
    </xdr:from>
    <xdr:to>
      <xdr:col>1</xdr:col>
      <xdr:colOff>4476750</xdr:colOff>
      <xdr:row>1788</xdr:row>
      <xdr:rowOff>190500</xdr:rowOff>
    </xdr:to>
    <xdr:pic>
      <xdr:nvPicPr>
        <xdr:cNvPr id="7671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49458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1717</xdr:row>
      <xdr:rowOff>180975</xdr:rowOff>
    </xdr:from>
    <xdr:to>
      <xdr:col>1</xdr:col>
      <xdr:colOff>4476750</xdr:colOff>
      <xdr:row>1718</xdr:row>
      <xdr:rowOff>609600</xdr:rowOff>
    </xdr:to>
    <xdr:pic>
      <xdr:nvPicPr>
        <xdr:cNvPr id="7671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296525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1683</xdr:row>
      <xdr:rowOff>180975</xdr:rowOff>
    </xdr:from>
    <xdr:to>
      <xdr:col>1</xdr:col>
      <xdr:colOff>4476750</xdr:colOff>
      <xdr:row>1684</xdr:row>
      <xdr:rowOff>609600</xdr:rowOff>
    </xdr:to>
    <xdr:pic>
      <xdr:nvPicPr>
        <xdr:cNvPr id="7671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314575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1641</xdr:row>
      <xdr:rowOff>180975</xdr:rowOff>
    </xdr:from>
    <xdr:to>
      <xdr:col>1</xdr:col>
      <xdr:colOff>4476750</xdr:colOff>
      <xdr:row>1643</xdr:row>
      <xdr:rowOff>190500</xdr:rowOff>
    </xdr:to>
    <xdr:pic>
      <xdr:nvPicPr>
        <xdr:cNvPr id="7671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4468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295275</xdr:colOff>
      <xdr:row>1424</xdr:row>
      <xdr:rowOff>0</xdr:rowOff>
    </xdr:from>
    <xdr:to>
      <xdr:col>18</xdr:col>
      <xdr:colOff>333375</xdr:colOff>
      <xdr:row>1426</xdr:row>
      <xdr:rowOff>38100</xdr:rowOff>
    </xdr:to>
    <xdr:pic>
      <xdr:nvPicPr>
        <xdr:cNvPr id="7671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420850" y="323850000"/>
          <a:ext cx="65722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1557</xdr:row>
      <xdr:rowOff>38100</xdr:rowOff>
    </xdr:from>
    <xdr:to>
      <xdr:col>1</xdr:col>
      <xdr:colOff>4276725</xdr:colOff>
      <xdr:row>1560</xdr:row>
      <xdr:rowOff>104775</xdr:rowOff>
    </xdr:to>
    <xdr:pic>
      <xdr:nvPicPr>
        <xdr:cNvPr id="7672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54472875"/>
          <a:ext cx="45815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1592</xdr:row>
      <xdr:rowOff>0</xdr:rowOff>
    </xdr:from>
    <xdr:to>
      <xdr:col>1</xdr:col>
      <xdr:colOff>4276725</xdr:colOff>
      <xdr:row>1594</xdr:row>
      <xdr:rowOff>228600</xdr:rowOff>
    </xdr:to>
    <xdr:pic>
      <xdr:nvPicPr>
        <xdr:cNvPr id="7672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63293025"/>
          <a:ext cx="45815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1518</xdr:row>
      <xdr:rowOff>180975</xdr:rowOff>
    </xdr:from>
    <xdr:to>
      <xdr:col>1</xdr:col>
      <xdr:colOff>4476750</xdr:colOff>
      <xdr:row>1519</xdr:row>
      <xdr:rowOff>609600</xdr:rowOff>
    </xdr:to>
    <xdr:pic>
      <xdr:nvPicPr>
        <xdr:cNvPr id="7672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46014675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1482</xdr:row>
      <xdr:rowOff>180975</xdr:rowOff>
    </xdr:from>
    <xdr:to>
      <xdr:col>1</xdr:col>
      <xdr:colOff>4476750</xdr:colOff>
      <xdr:row>1483</xdr:row>
      <xdr:rowOff>609600</xdr:rowOff>
    </xdr:to>
    <xdr:pic>
      <xdr:nvPicPr>
        <xdr:cNvPr id="7672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37575525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1452</xdr:row>
      <xdr:rowOff>180975</xdr:rowOff>
    </xdr:from>
    <xdr:to>
      <xdr:col>1</xdr:col>
      <xdr:colOff>4476750</xdr:colOff>
      <xdr:row>1453</xdr:row>
      <xdr:rowOff>609600</xdr:rowOff>
    </xdr:to>
    <xdr:pic>
      <xdr:nvPicPr>
        <xdr:cNvPr id="7672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30555600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1410</xdr:row>
      <xdr:rowOff>180975</xdr:rowOff>
    </xdr:from>
    <xdr:to>
      <xdr:col>1</xdr:col>
      <xdr:colOff>4476750</xdr:colOff>
      <xdr:row>1412</xdr:row>
      <xdr:rowOff>190500</xdr:rowOff>
    </xdr:to>
    <xdr:pic>
      <xdr:nvPicPr>
        <xdr:cNvPr id="7672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208115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1369</xdr:row>
      <xdr:rowOff>180975</xdr:rowOff>
    </xdr:from>
    <xdr:to>
      <xdr:col>1</xdr:col>
      <xdr:colOff>4476750</xdr:colOff>
      <xdr:row>1371</xdr:row>
      <xdr:rowOff>190500</xdr:rowOff>
    </xdr:to>
    <xdr:pic>
      <xdr:nvPicPr>
        <xdr:cNvPr id="7672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112865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1330</xdr:row>
      <xdr:rowOff>180975</xdr:rowOff>
    </xdr:from>
    <xdr:to>
      <xdr:col>1</xdr:col>
      <xdr:colOff>4476750</xdr:colOff>
      <xdr:row>1332</xdr:row>
      <xdr:rowOff>190500</xdr:rowOff>
    </xdr:to>
    <xdr:pic>
      <xdr:nvPicPr>
        <xdr:cNvPr id="7672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018472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1252</xdr:row>
      <xdr:rowOff>180975</xdr:rowOff>
    </xdr:from>
    <xdr:to>
      <xdr:col>1</xdr:col>
      <xdr:colOff>4476750</xdr:colOff>
      <xdr:row>1254</xdr:row>
      <xdr:rowOff>190500</xdr:rowOff>
    </xdr:to>
    <xdr:pic>
      <xdr:nvPicPr>
        <xdr:cNvPr id="7672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868549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1192</xdr:row>
      <xdr:rowOff>180975</xdr:rowOff>
    </xdr:from>
    <xdr:to>
      <xdr:col>1</xdr:col>
      <xdr:colOff>4476750</xdr:colOff>
      <xdr:row>1194</xdr:row>
      <xdr:rowOff>190500</xdr:rowOff>
    </xdr:to>
    <xdr:pic>
      <xdr:nvPicPr>
        <xdr:cNvPr id="7672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739675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1140</xdr:row>
      <xdr:rowOff>180975</xdr:rowOff>
    </xdr:from>
    <xdr:to>
      <xdr:col>1</xdr:col>
      <xdr:colOff>4476750</xdr:colOff>
      <xdr:row>1142</xdr:row>
      <xdr:rowOff>190500</xdr:rowOff>
    </xdr:to>
    <xdr:pic>
      <xdr:nvPicPr>
        <xdr:cNvPr id="7673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621565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1094</xdr:row>
      <xdr:rowOff>95250</xdr:rowOff>
    </xdr:from>
    <xdr:to>
      <xdr:col>1</xdr:col>
      <xdr:colOff>3743325</xdr:colOff>
      <xdr:row>1096</xdr:row>
      <xdr:rowOff>200025</xdr:rowOff>
    </xdr:to>
    <xdr:pic>
      <xdr:nvPicPr>
        <xdr:cNvPr id="7673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252517275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1056</xdr:row>
      <xdr:rowOff>95250</xdr:rowOff>
    </xdr:from>
    <xdr:to>
      <xdr:col>1</xdr:col>
      <xdr:colOff>3743325</xdr:colOff>
      <xdr:row>1058</xdr:row>
      <xdr:rowOff>200025</xdr:rowOff>
    </xdr:to>
    <xdr:pic>
      <xdr:nvPicPr>
        <xdr:cNvPr id="7673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244373400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1016</xdr:row>
      <xdr:rowOff>180975</xdr:rowOff>
    </xdr:from>
    <xdr:to>
      <xdr:col>1</xdr:col>
      <xdr:colOff>4476750</xdr:colOff>
      <xdr:row>1018</xdr:row>
      <xdr:rowOff>190500</xdr:rowOff>
    </xdr:to>
    <xdr:pic>
      <xdr:nvPicPr>
        <xdr:cNvPr id="7673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360104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977</xdr:row>
      <xdr:rowOff>9525</xdr:rowOff>
    </xdr:from>
    <xdr:to>
      <xdr:col>1</xdr:col>
      <xdr:colOff>4371975</xdr:colOff>
      <xdr:row>979</xdr:row>
      <xdr:rowOff>238125</xdr:rowOff>
    </xdr:to>
    <xdr:pic>
      <xdr:nvPicPr>
        <xdr:cNvPr id="7673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50" y="227571300"/>
          <a:ext cx="45815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935</xdr:row>
      <xdr:rowOff>180975</xdr:rowOff>
    </xdr:from>
    <xdr:to>
      <xdr:col>1</xdr:col>
      <xdr:colOff>4476750</xdr:colOff>
      <xdr:row>937</xdr:row>
      <xdr:rowOff>190500</xdr:rowOff>
    </xdr:to>
    <xdr:pic>
      <xdr:nvPicPr>
        <xdr:cNvPr id="7673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189702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888</xdr:row>
      <xdr:rowOff>0</xdr:rowOff>
    </xdr:from>
    <xdr:to>
      <xdr:col>1</xdr:col>
      <xdr:colOff>4276725</xdr:colOff>
      <xdr:row>890</xdr:row>
      <xdr:rowOff>285750</xdr:rowOff>
    </xdr:to>
    <xdr:pic>
      <xdr:nvPicPr>
        <xdr:cNvPr id="7673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07987900"/>
          <a:ext cx="45815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803</xdr:row>
      <xdr:rowOff>180975</xdr:rowOff>
    </xdr:from>
    <xdr:to>
      <xdr:col>1</xdr:col>
      <xdr:colOff>4352925</xdr:colOff>
      <xdr:row>806</xdr:row>
      <xdr:rowOff>38100</xdr:rowOff>
    </xdr:to>
    <xdr:pic>
      <xdr:nvPicPr>
        <xdr:cNvPr id="7673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187785375"/>
          <a:ext cx="45529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762</xdr:row>
      <xdr:rowOff>85725</xdr:rowOff>
    </xdr:from>
    <xdr:to>
      <xdr:col>1</xdr:col>
      <xdr:colOff>3810000</xdr:colOff>
      <xdr:row>763</xdr:row>
      <xdr:rowOff>314325</xdr:rowOff>
    </xdr:to>
    <xdr:pic>
      <xdr:nvPicPr>
        <xdr:cNvPr id="7673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79070000"/>
          <a:ext cx="411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842</xdr:row>
      <xdr:rowOff>85725</xdr:rowOff>
    </xdr:from>
    <xdr:to>
      <xdr:col>1</xdr:col>
      <xdr:colOff>4352925</xdr:colOff>
      <xdr:row>844</xdr:row>
      <xdr:rowOff>209550</xdr:rowOff>
    </xdr:to>
    <xdr:pic>
      <xdr:nvPicPr>
        <xdr:cNvPr id="7673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196748400"/>
          <a:ext cx="45529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685</xdr:row>
      <xdr:rowOff>180975</xdr:rowOff>
    </xdr:from>
    <xdr:to>
      <xdr:col>1</xdr:col>
      <xdr:colOff>4657725</xdr:colOff>
      <xdr:row>688</xdr:row>
      <xdr:rowOff>66675</xdr:rowOff>
    </xdr:to>
    <xdr:pic>
      <xdr:nvPicPr>
        <xdr:cNvPr id="7674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63068000"/>
          <a:ext cx="47625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643</xdr:row>
      <xdr:rowOff>180975</xdr:rowOff>
    </xdr:from>
    <xdr:to>
      <xdr:col>1</xdr:col>
      <xdr:colOff>4476750</xdr:colOff>
      <xdr:row>645</xdr:row>
      <xdr:rowOff>190500</xdr:rowOff>
    </xdr:to>
    <xdr:pic>
      <xdr:nvPicPr>
        <xdr:cNvPr id="7674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528857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600</xdr:row>
      <xdr:rowOff>180975</xdr:rowOff>
    </xdr:from>
    <xdr:to>
      <xdr:col>1</xdr:col>
      <xdr:colOff>4476750</xdr:colOff>
      <xdr:row>601</xdr:row>
      <xdr:rowOff>609600</xdr:rowOff>
    </xdr:to>
    <xdr:pic>
      <xdr:nvPicPr>
        <xdr:cNvPr id="7674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43198850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539</xdr:row>
      <xdr:rowOff>209550</xdr:rowOff>
    </xdr:from>
    <xdr:to>
      <xdr:col>1</xdr:col>
      <xdr:colOff>4391025</xdr:colOff>
      <xdr:row>541</xdr:row>
      <xdr:rowOff>219075</xdr:rowOff>
    </xdr:to>
    <xdr:pic>
      <xdr:nvPicPr>
        <xdr:cNvPr id="7674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4300" y="128330325"/>
          <a:ext cx="45815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500</xdr:row>
      <xdr:rowOff>180975</xdr:rowOff>
    </xdr:from>
    <xdr:to>
      <xdr:col>1</xdr:col>
      <xdr:colOff>4476750</xdr:colOff>
      <xdr:row>502</xdr:row>
      <xdr:rowOff>190500</xdr:rowOff>
    </xdr:to>
    <xdr:pic>
      <xdr:nvPicPr>
        <xdr:cNvPr id="7674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18986300"/>
          <a:ext cx="45815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453</xdr:row>
      <xdr:rowOff>180975</xdr:rowOff>
    </xdr:from>
    <xdr:to>
      <xdr:col>1</xdr:col>
      <xdr:colOff>4476750</xdr:colOff>
      <xdr:row>454</xdr:row>
      <xdr:rowOff>695325</xdr:rowOff>
    </xdr:to>
    <xdr:pic>
      <xdr:nvPicPr>
        <xdr:cNvPr id="7674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06594275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423</xdr:row>
      <xdr:rowOff>180975</xdr:rowOff>
    </xdr:from>
    <xdr:to>
      <xdr:col>1</xdr:col>
      <xdr:colOff>4476750</xdr:colOff>
      <xdr:row>424</xdr:row>
      <xdr:rowOff>695325</xdr:rowOff>
    </xdr:to>
    <xdr:pic>
      <xdr:nvPicPr>
        <xdr:cNvPr id="7674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99021900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387</xdr:row>
      <xdr:rowOff>180975</xdr:rowOff>
    </xdr:from>
    <xdr:to>
      <xdr:col>1</xdr:col>
      <xdr:colOff>4476750</xdr:colOff>
      <xdr:row>389</xdr:row>
      <xdr:rowOff>190500</xdr:rowOff>
    </xdr:to>
    <xdr:pic>
      <xdr:nvPicPr>
        <xdr:cNvPr id="7674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90497025"/>
          <a:ext cx="458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340</xdr:row>
      <xdr:rowOff>95250</xdr:rowOff>
    </xdr:from>
    <xdr:to>
      <xdr:col>1</xdr:col>
      <xdr:colOff>3743325</xdr:colOff>
      <xdr:row>342</xdr:row>
      <xdr:rowOff>200025</xdr:rowOff>
    </xdr:to>
    <xdr:pic>
      <xdr:nvPicPr>
        <xdr:cNvPr id="767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80495775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300</xdr:row>
      <xdr:rowOff>95250</xdr:rowOff>
    </xdr:from>
    <xdr:to>
      <xdr:col>1</xdr:col>
      <xdr:colOff>4152900</xdr:colOff>
      <xdr:row>302</xdr:row>
      <xdr:rowOff>200025</xdr:rowOff>
    </xdr:to>
    <xdr:pic>
      <xdr:nvPicPr>
        <xdr:cNvPr id="7674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71266050"/>
          <a:ext cx="43148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265</xdr:row>
      <xdr:rowOff>95250</xdr:rowOff>
    </xdr:from>
    <xdr:to>
      <xdr:col>1</xdr:col>
      <xdr:colOff>3905250</xdr:colOff>
      <xdr:row>267</xdr:row>
      <xdr:rowOff>0</xdr:rowOff>
    </xdr:to>
    <xdr:pic>
      <xdr:nvPicPr>
        <xdr:cNvPr id="7675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62998350"/>
          <a:ext cx="40671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215</xdr:row>
      <xdr:rowOff>180975</xdr:rowOff>
    </xdr:from>
    <xdr:to>
      <xdr:col>1</xdr:col>
      <xdr:colOff>4476750</xdr:colOff>
      <xdr:row>217</xdr:row>
      <xdr:rowOff>66675</xdr:rowOff>
    </xdr:to>
    <xdr:pic>
      <xdr:nvPicPr>
        <xdr:cNvPr id="7675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50234850"/>
          <a:ext cx="45815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182</xdr:row>
      <xdr:rowOff>180975</xdr:rowOff>
    </xdr:from>
    <xdr:to>
      <xdr:col>1</xdr:col>
      <xdr:colOff>4476750</xdr:colOff>
      <xdr:row>184</xdr:row>
      <xdr:rowOff>190500</xdr:rowOff>
    </xdr:to>
    <xdr:pic>
      <xdr:nvPicPr>
        <xdr:cNvPr id="7675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2214800"/>
          <a:ext cx="458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147</xdr:row>
      <xdr:rowOff>180975</xdr:rowOff>
    </xdr:from>
    <xdr:to>
      <xdr:col>1</xdr:col>
      <xdr:colOff>4476750</xdr:colOff>
      <xdr:row>149</xdr:row>
      <xdr:rowOff>190500</xdr:rowOff>
    </xdr:to>
    <xdr:pic>
      <xdr:nvPicPr>
        <xdr:cNvPr id="7675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3804225"/>
          <a:ext cx="458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117</xdr:row>
      <xdr:rowOff>180975</xdr:rowOff>
    </xdr:from>
    <xdr:to>
      <xdr:col>1</xdr:col>
      <xdr:colOff>4476750</xdr:colOff>
      <xdr:row>119</xdr:row>
      <xdr:rowOff>190500</xdr:rowOff>
    </xdr:to>
    <xdr:pic>
      <xdr:nvPicPr>
        <xdr:cNvPr id="7675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6670000"/>
          <a:ext cx="458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80</xdr:row>
      <xdr:rowOff>180975</xdr:rowOff>
    </xdr:from>
    <xdr:to>
      <xdr:col>1</xdr:col>
      <xdr:colOff>4476750</xdr:colOff>
      <xdr:row>82</xdr:row>
      <xdr:rowOff>190500</xdr:rowOff>
    </xdr:to>
    <xdr:pic>
      <xdr:nvPicPr>
        <xdr:cNvPr id="7675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7868900"/>
          <a:ext cx="458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39</xdr:row>
      <xdr:rowOff>180975</xdr:rowOff>
    </xdr:from>
    <xdr:to>
      <xdr:col>1</xdr:col>
      <xdr:colOff>4476750</xdr:colOff>
      <xdr:row>42</xdr:row>
      <xdr:rowOff>190500</xdr:rowOff>
    </xdr:to>
    <xdr:pic>
      <xdr:nvPicPr>
        <xdr:cNvPr id="7675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849630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</xdr:row>
      <xdr:rowOff>95250</xdr:rowOff>
    </xdr:from>
    <xdr:to>
      <xdr:col>1</xdr:col>
      <xdr:colOff>3743325</xdr:colOff>
      <xdr:row>3</xdr:row>
      <xdr:rowOff>200025</xdr:rowOff>
    </xdr:to>
    <xdr:pic>
      <xdr:nvPicPr>
        <xdr:cNvPr id="7675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247650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2612</xdr:row>
      <xdr:rowOff>9525</xdr:rowOff>
    </xdr:from>
    <xdr:to>
      <xdr:col>1</xdr:col>
      <xdr:colOff>164973</xdr:colOff>
      <xdr:row>2612</xdr:row>
      <xdr:rowOff>81803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382371600"/>
          <a:ext cx="412623" cy="72278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2701</xdr:row>
      <xdr:rowOff>161925</xdr:rowOff>
    </xdr:from>
    <xdr:to>
      <xdr:col>1</xdr:col>
      <xdr:colOff>115824</xdr:colOff>
      <xdr:row>2702</xdr:row>
      <xdr:rowOff>74206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396516225"/>
          <a:ext cx="392049" cy="7420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2756</xdr:row>
      <xdr:rowOff>0</xdr:rowOff>
    </xdr:from>
    <xdr:to>
      <xdr:col>1</xdr:col>
      <xdr:colOff>120396</xdr:colOff>
      <xdr:row>2756</xdr:row>
      <xdr:rowOff>74071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404745825"/>
          <a:ext cx="339471" cy="74071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2558</xdr:row>
      <xdr:rowOff>9525</xdr:rowOff>
    </xdr:from>
    <xdr:to>
      <xdr:col>1</xdr:col>
      <xdr:colOff>164973</xdr:colOff>
      <xdr:row>2558</xdr:row>
      <xdr:rowOff>73309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374142000"/>
          <a:ext cx="412623" cy="6378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2518</xdr:row>
      <xdr:rowOff>9525</xdr:rowOff>
    </xdr:from>
    <xdr:to>
      <xdr:col>1</xdr:col>
      <xdr:colOff>164973</xdr:colOff>
      <xdr:row>2518</xdr:row>
      <xdr:rowOff>73308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368046000"/>
          <a:ext cx="412623" cy="63783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2797</xdr:row>
      <xdr:rowOff>0</xdr:rowOff>
    </xdr:from>
    <xdr:to>
      <xdr:col>1</xdr:col>
      <xdr:colOff>49149</xdr:colOff>
      <xdr:row>2797</xdr:row>
      <xdr:rowOff>72278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411003750"/>
          <a:ext cx="325374" cy="72278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649</xdr:row>
      <xdr:rowOff>180975</xdr:rowOff>
    </xdr:from>
    <xdr:to>
      <xdr:col>1</xdr:col>
      <xdr:colOff>4476750</xdr:colOff>
      <xdr:row>651</xdr:row>
      <xdr:rowOff>190500</xdr:rowOff>
    </xdr:to>
    <xdr:pic>
      <xdr:nvPicPr>
        <xdr:cNvPr id="7532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384744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597</xdr:row>
      <xdr:rowOff>180975</xdr:rowOff>
    </xdr:from>
    <xdr:to>
      <xdr:col>1</xdr:col>
      <xdr:colOff>4476750</xdr:colOff>
      <xdr:row>599</xdr:row>
      <xdr:rowOff>190500</xdr:rowOff>
    </xdr:to>
    <xdr:pic>
      <xdr:nvPicPr>
        <xdr:cNvPr id="7532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275873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546</xdr:row>
      <xdr:rowOff>180975</xdr:rowOff>
    </xdr:from>
    <xdr:to>
      <xdr:col>1</xdr:col>
      <xdr:colOff>4476750</xdr:colOff>
      <xdr:row>548</xdr:row>
      <xdr:rowOff>190500</xdr:rowOff>
    </xdr:to>
    <xdr:pic>
      <xdr:nvPicPr>
        <xdr:cNvPr id="7532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169003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509</xdr:row>
      <xdr:rowOff>180975</xdr:rowOff>
    </xdr:from>
    <xdr:to>
      <xdr:col>1</xdr:col>
      <xdr:colOff>4476750</xdr:colOff>
      <xdr:row>511</xdr:row>
      <xdr:rowOff>190500</xdr:rowOff>
    </xdr:to>
    <xdr:pic>
      <xdr:nvPicPr>
        <xdr:cNvPr id="7532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090136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458</xdr:row>
      <xdr:rowOff>180975</xdr:rowOff>
    </xdr:from>
    <xdr:to>
      <xdr:col>1</xdr:col>
      <xdr:colOff>4476750</xdr:colOff>
      <xdr:row>460</xdr:row>
      <xdr:rowOff>190500</xdr:rowOff>
    </xdr:to>
    <xdr:pic>
      <xdr:nvPicPr>
        <xdr:cNvPr id="7532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983265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417</xdr:row>
      <xdr:rowOff>180975</xdr:rowOff>
    </xdr:from>
    <xdr:to>
      <xdr:col>1</xdr:col>
      <xdr:colOff>4476750</xdr:colOff>
      <xdr:row>419</xdr:row>
      <xdr:rowOff>190500</xdr:rowOff>
    </xdr:to>
    <xdr:pic>
      <xdr:nvPicPr>
        <xdr:cNvPr id="7532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896874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383</xdr:row>
      <xdr:rowOff>180975</xdr:rowOff>
    </xdr:from>
    <xdr:to>
      <xdr:col>1</xdr:col>
      <xdr:colOff>4476750</xdr:colOff>
      <xdr:row>385</xdr:row>
      <xdr:rowOff>190500</xdr:rowOff>
    </xdr:to>
    <xdr:pic>
      <xdr:nvPicPr>
        <xdr:cNvPr id="7533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824960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342</xdr:row>
      <xdr:rowOff>180975</xdr:rowOff>
    </xdr:from>
    <xdr:to>
      <xdr:col>1</xdr:col>
      <xdr:colOff>4476750</xdr:colOff>
      <xdr:row>344</xdr:row>
      <xdr:rowOff>190500</xdr:rowOff>
    </xdr:to>
    <xdr:pic>
      <xdr:nvPicPr>
        <xdr:cNvPr id="7533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736758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300</xdr:row>
      <xdr:rowOff>180975</xdr:rowOff>
    </xdr:from>
    <xdr:to>
      <xdr:col>1</xdr:col>
      <xdr:colOff>4476750</xdr:colOff>
      <xdr:row>302</xdr:row>
      <xdr:rowOff>190500</xdr:rowOff>
    </xdr:to>
    <xdr:pic>
      <xdr:nvPicPr>
        <xdr:cNvPr id="7533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638556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253</xdr:row>
      <xdr:rowOff>180975</xdr:rowOff>
    </xdr:from>
    <xdr:to>
      <xdr:col>1</xdr:col>
      <xdr:colOff>4476750</xdr:colOff>
      <xdr:row>255</xdr:row>
      <xdr:rowOff>66675</xdr:rowOff>
    </xdr:to>
    <xdr:pic>
      <xdr:nvPicPr>
        <xdr:cNvPr id="7533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54063900"/>
          <a:ext cx="45815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198</xdr:row>
      <xdr:rowOff>180975</xdr:rowOff>
    </xdr:from>
    <xdr:to>
      <xdr:col>1</xdr:col>
      <xdr:colOff>4476750</xdr:colOff>
      <xdr:row>200</xdr:row>
      <xdr:rowOff>190500</xdr:rowOff>
    </xdr:to>
    <xdr:pic>
      <xdr:nvPicPr>
        <xdr:cNvPr id="7533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27672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154</xdr:row>
      <xdr:rowOff>180975</xdr:rowOff>
    </xdr:from>
    <xdr:to>
      <xdr:col>1</xdr:col>
      <xdr:colOff>4476750</xdr:colOff>
      <xdr:row>156</xdr:row>
      <xdr:rowOff>190500</xdr:rowOff>
    </xdr:to>
    <xdr:pic>
      <xdr:nvPicPr>
        <xdr:cNvPr id="7533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37185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110</xdr:row>
      <xdr:rowOff>180975</xdr:rowOff>
    </xdr:from>
    <xdr:to>
      <xdr:col>1</xdr:col>
      <xdr:colOff>4476750</xdr:colOff>
      <xdr:row>112</xdr:row>
      <xdr:rowOff>190500</xdr:rowOff>
    </xdr:to>
    <xdr:pic>
      <xdr:nvPicPr>
        <xdr:cNvPr id="7533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3450550"/>
          <a:ext cx="458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77</xdr:row>
      <xdr:rowOff>180975</xdr:rowOff>
    </xdr:from>
    <xdr:to>
      <xdr:col>1</xdr:col>
      <xdr:colOff>4476750</xdr:colOff>
      <xdr:row>79</xdr:row>
      <xdr:rowOff>190500</xdr:rowOff>
    </xdr:to>
    <xdr:pic>
      <xdr:nvPicPr>
        <xdr:cNvPr id="7533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63639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</xdr:row>
      <xdr:rowOff>180975</xdr:rowOff>
    </xdr:from>
    <xdr:to>
      <xdr:col>1</xdr:col>
      <xdr:colOff>4476750</xdr:colOff>
      <xdr:row>2</xdr:row>
      <xdr:rowOff>609600</xdr:rowOff>
    </xdr:to>
    <xdr:pic>
      <xdr:nvPicPr>
        <xdr:cNvPr id="7533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1000"/>
          <a:ext cx="45815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200025</xdr:colOff>
      <xdr:row>1</xdr:row>
      <xdr:rowOff>180975</xdr:rowOff>
    </xdr:from>
    <xdr:to>
      <xdr:col>12</xdr:col>
      <xdr:colOff>4476750</xdr:colOff>
      <xdr:row>2</xdr:row>
      <xdr:rowOff>609600</xdr:rowOff>
    </xdr:to>
    <xdr:pic>
      <xdr:nvPicPr>
        <xdr:cNvPr id="7533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592300" y="381000"/>
          <a:ext cx="35623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1955</xdr:row>
      <xdr:rowOff>9525</xdr:rowOff>
    </xdr:from>
    <xdr:to>
      <xdr:col>1</xdr:col>
      <xdr:colOff>164973</xdr:colOff>
      <xdr:row>1955</xdr:row>
      <xdr:rowOff>81803</xdr:rowOff>
    </xdr:to>
    <xdr:pic>
      <xdr:nvPicPr>
        <xdr:cNvPr id="102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141436725"/>
          <a:ext cx="409575" cy="400050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2044</xdr:row>
      <xdr:rowOff>161925</xdr:rowOff>
    </xdr:from>
    <xdr:to>
      <xdr:col>1</xdr:col>
      <xdr:colOff>115824</xdr:colOff>
      <xdr:row>2045</xdr:row>
      <xdr:rowOff>74206</xdr:rowOff>
    </xdr:to>
    <xdr:pic>
      <xdr:nvPicPr>
        <xdr:cNvPr id="1027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7943550"/>
          <a:ext cx="390525" cy="40957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2099</xdr:row>
      <xdr:rowOff>0</xdr:rowOff>
    </xdr:from>
    <xdr:to>
      <xdr:col>1</xdr:col>
      <xdr:colOff>120396</xdr:colOff>
      <xdr:row>2099</xdr:row>
      <xdr:rowOff>74071</xdr:rowOff>
    </xdr:to>
    <xdr:pic>
      <xdr:nvPicPr>
        <xdr:cNvPr id="1028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166173150"/>
          <a:ext cx="333375" cy="35242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1901</xdr:row>
      <xdr:rowOff>9525</xdr:rowOff>
    </xdr:from>
    <xdr:to>
      <xdr:col>1</xdr:col>
      <xdr:colOff>164973</xdr:colOff>
      <xdr:row>1901</xdr:row>
      <xdr:rowOff>73309</xdr:rowOff>
    </xdr:to>
    <xdr:pic>
      <xdr:nvPicPr>
        <xdr:cNvPr id="1029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133207125"/>
          <a:ext cx="409575" cy="400050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1861</xdr:row>
      <xdr:rowOff>9525</xdr:rowOff>
    </xdr:from>
    <xdr:to>
      <xdr:col>1</xdr:col>
      <xdr:colOff>164973</xdr:colOff>
      <xdr:row>1861</xdr:row>
      <xdr:rowOff>73308</xdr:rowOff>
    </xdr:to>
    <xdr:pic>
      <xdr:nvPicPr>
        <xdr:cNvPr id="1030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127111125"/>
          <a:ext cx="409575" cy="400050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2140</xdr:row>
      <xdr:rowOff>0</xdr:rowOff>
    </xdr:from>
    <xdr:to>
      <xdr:col>1</xdr:col>
      <xdr:colOff>49149</xdr:colOff>
      <xdr:row>2140</xdr:row>
      <xdr:rowOff>72278</xdr:rowOff>
    </xdr:to>
    <xdr:pic>
      <xdr:nvPicPr>
        <xdr:cNvPr id="1031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172421550"/>
          <a:ext cx="323850" cy="39052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1</xdr:col>
      <xdr:colOff>38100</xdr:colOff>
      <xdr:row>2140</xdr:row>
      <xdr:rowOff>19050</xdr:rowOff>
    </xdr:from>
    <xdr:to>
      <xdr:col>1</xdr:col>
      <xdr:colOff>1371600</xdr:colOff>
      <xdr:row>2142</xdr:row>
      <xdr:rowOff>123825</xdr:rowOff>
    </xdr:to>
    <xdr:sp macro="" textlink="">
      <xdr:nvSpPr>
        <xdr:cNvPr id="1032" name="Rectangle 30"/>
        <xdr:cNvSpPr>
          <a:spLocks noChangeArrowheads="1"/>
        </xdr:cNvSpPr>
      </xdr:nvSpPr>
      <xdr:spPr bwMode="auto">
        <a:xfrm>
          <a:off x="342900" y="172440600"/>
          <a:ext cx="1333500" cy="4857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id-ID" sz="1000" b="0" i="0" strike="noStrike">
              <a:solidFill>
                <a:srgbClr val="000000"/>
              </a:solidFill>
              <a:latin typeface="Century Gothic"/>
            </a:rPr>
            <a:t>PDAM Tirtanadi</a:t>
          </a:r>
        </a:p>
        <a:p>
          <a:pPr algn="l" rtl="0">
            <a:defRPr sz="1000"/>
          </a:pPr>
          <a:r>
            <a:rPr lang="id-ID" sz="1000" b="0" i="0" strike="noStrike">
              <a:solidFill>
                <a:srgbClr val="000000"/>
              </a:solidFill>
              <a:latin typeface="Century Gothic"/>
            </a:rPr>
            <a:t>Provinsi Sumatera Utara</a:t>
          </a:r>
          <a:endParaRPr lang="id-ID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id-ID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                  </a:t>
          </a:r>
        </a:p>
        <a:p>
          <a:pPr algn="l" rtl="0">
            <a:defRPr sz="1000"/>
          </a:pPr>
          <a:endParaRPr lang="id-ID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76200</xdr:colOff>
      <xdr:row>1808</xdr:row>
      <xdr:rowOff>95250</xdr:rowOff>
    </xdr:from>
    <xdr:to>
      <xdr:col>1</xdr:col>
      <xdr:colOff>1285875</xdr:colOff>
      <xdr:row>1810</xdr:row>
      <xdr:rowOff>152400</xdr:rowOff>
    </xdr:to>
    <xdr:pic>
      <xdr:nvPicPr>
        <xdr:cNvPr id="7809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359997375"/>
          <a:ext cx="15144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1770</xdr:row>
      <xdr:rowOff>95250</xdr:rowOff>
    </xdr:from>
    <xdr:to>
      <xdr:col>1</xdr:col>
      <xdr:colOff>1285875</xdr:colOff>
      <xdr:row>1772</xdr:row>
      <xdr:rowOff>152400</xdr:rowOff>
    </xdr:to>
    <xdr:pic>
      <xdr:nvPicPr>
        <xdr:cNvPr id="7809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354063300"/>
          <a:ext cx="15144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1994</xdr:row>
      <xdr:rowOff>19050</xdr:rowOff>
    </xdr:from>
    <xdr:to>
      <xdr:col>1</xdr:col>
      <xdr:colOff>1304925</xdr:colOff>
      <xdr:row>1995</xdr:row>
      <xdr:rowOff>190500</xdr:rowOff>
    </xdr:to>
    <xdr:pic>
      <xdr:nvPicPr>
        <xdr:cNvPr id="7809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8753350"/>
          <a:ext cx="15811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1725</xdr:row>
      <xdr:rowOff>95250</xdr:rowOff>
    </xdr:from>
    <xdr:to>
      <xdr:col>1</xdr:col>
      <xdr:colOff>1285875</xdr:colOff>
      <xdr:row>1727</xdr:row>
      <xdr:rowOff>152400</xdr:rowOff>
    </xdr:to>
    <xdr:pic>
      <xdr:nvPicPr>
        <xdr:cNvPr id="7809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347071950"/>
          <a:ext cx="15144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1676</xdr:row>
      <xdr:rowOff>95250</xdr:rowOff>
    </xdr:from>
    <xdr:to>
      <xdr:col>1</xdr:col>
      <xdr:colOff>1285875</xdr:colOff>
      <xdr:row>1678</xdr:row>
      <xdr:rowOff>152400</xdr:rowOff>
    </xdr:to>
    <xdr:pic>
      <xdr:nvPicPr>
        <xdr:cNvPr id="7809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338318475"/>
          <a:ext cx="15144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1638</xdr:row>
      <xdr:rowOff>28575</xdr:rowOff>
    </xdr:from>
    <xdr:to>
      <xdr:col>1</xdr:col>
      <xdr:colOff>2276475</xdr:colOff>
      <xdr:row>1639</xdr:row>
      <xdr:rowOff>228600</xdr:rowOff>
    </xdr:to>
    <xdr:pic>
      <xdr:nvPicPr>
        <xdr:cNvPr id="7809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80975" y="331003275"/>
          <a:ext cx="24003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1598</xdr:row>
      <xdr:rowOff>57150</xdr:rowOff>
    </xdr:from>
    <xdr:to>
      <xdr:col>1</xdr:col>
      <xdr:colOff>2590800</xdr:colOff>
      <xdr:row>1601</xdr:row>
      <xdr:rowOff>104775</xdr:rowOff>
    </xdr:to>
    <xdr:pic>
      <xdr:nvPicPr>
        <xdr:cNvPr id="7809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324497700"/>
          <a:ext cx="2790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1543</xdr:row>
      <xdr:rowOff>95250</xdr:rowOff>
    </xdr:from>
    <xdr:to>
      <xdr:col>1</xdr:col>
      <xdr:colOff>1276350</xdr:colOff>
      <xdr:row>1545</xdr:row>
      <xdr:rowOff>152400</xdr:rowOff>
    </xdr:to>
    <xdr:pic>
      <xdr:nvPicPr>
        <xdr:cNvPr id="7810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316020450"/>
          <a:ext cx="1504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1450</xdr:row>
      <xdr:rowOff>66675</xdr:rowOff>
    </xdr:from>
    <xdr:to>
      <xdr:col>1</xdr:col>
      <xdr:colOff>2657475</xdr:colOff>
      <xdr:row>1452</xdr:row>
      <xdr:rowOff>47625</xdr:rowOff>
    </xdr:to>
    <xdr:pic>
      <xdr:nvPicPr>
        <xdr:cNvPr id="7810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97741975"/>
          <a:ext cx="28860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1378</xdr:row>
      <xdr:rowOff>38100</xdr:rowOff>
    </xdr:from>
    <xdr:to>
      <xdr:col>1</xdr:col>
      <xdr:colOff>1962150</xdr:colOff>
      <xdr:row>1380</xdr:row>
      <xdr:rowOff>38100</xdr:rowOff>
    </xdr:to>
    <xdr:pic>
      <xdr:nvPicPr>
        <xdr:cNvPr id="7810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86178625"/>
          <a:ext cx="21907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1340</xdr:row>
      <xdr:rowOff>28575</xdr:rowOff>
    </xdr:from>
    <xdr:to>
      <xdr:col>1</xdr:col>
      <xdr:colOff>2228850</xdr:colOff>
      <xdr:row>1342</xdr:row>
      <xdr:rowOff>28575</xdr:rowOff>
    </xdr:to>
    <xdr:pic>
      <xdr:nvPicPr>
        <xdr:cNvPr id="7810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78691975"/>
          <a:ext cx="24574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1300</xdr:row>
      <xdr:rowOff>19050</xdr:rowOff>
    </xdr:from>
    <xdr:to>
      <xdr:col>1</xdr:col>
      <xdr:colOff>2228850</xdr:colOff>
      <xdr:row>1302</xdr:row>
      <xdr:rowOff>19050</xdr:rowOff>
    </xdr:to>
    <xdr:pic>
      <xdr:nvPicPr>
        <xdr:cNvPr id="7810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70757650"/>
          <a:ext cx="2457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1270</xdr:row>
      <xdr:rowOff>9525</xdr:rowOff>
    </xdr:from>
    <xdr:to>
      <xdr:col>1</xdr:col>
      <xdr:colOff>2219325</xdr:colOff>
      <xdr:row>1272</xdr:row>
      <xdr:rowOff>19050</xdr:rowOff>
    </xdr:to>
    <xdr:pic>
      <xdr:nvPicPr>
        <xdr:cNvPr id="7810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64918825"/>
          <a:ext cx="2447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1221</xdr:row>
      <xdr:rowOff>9525</xdr:rowOff>
    </xdr:from>
    <xdr:to>
      <xdr:col>1</xdr:col>
      <xdr:colOff>2219325</xdr:colOff>
      <xdr:row>1223</xdr:row>
      <xdr:rowOff>9525</xdr:rowOff>
    </xdr:to>
    <xdr:pic>
      <xdr:nvPicPr>
        <xdr:cNvPr id="7810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55241425"/>
          <a:ext cx="24479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1184</xdr:row>
      <xdr:rowOff>9525</xdr:rowOff>
    </xdr:from>
    <xdr:to>
      <xdr:col>1</xdr:col>
      <xdr:colOff>2219325</xdr:colOff>
      <xdr:row>1186</xdr:row>
      <xdr:rowOff>9525</xdr:rowOff>
    </xdr:to>
    <xdr:pic>
      <xdr:nvPicPr>
        <xdr:cNvPr id="7810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48716800"/>
          <a:ext cx="24479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1145</xdr:row>
      <xdr:rowOff>9525</xdr:rowOff>
    </xdr:from>
    <xdr:to>
      <xdr:col>1</xdr:col>
      <xdr:colOff>2590800</xdr:colOff>
      <xdr:row>1146</xdr:row>
      <xdr:rowOff>238125</xdr:rowOff>
    </xdr:to>
    <xdr:pic>
      <xdr:nvPicPr>
        <xdr:cNvPr id="7810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242030250"/>
          <a:ext cx="27908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1101</xdr:row>
      <xdr:rowOff>9525</xdr:rowOff>
    </xdr:from>
    <xdr:to>
      <xdr:col>1</xdr:col>
      <xdr:colOff>3705225</xdr:colOff>
      <xdr:row>1103</xdr:row>
      <xdr:rowOff>114300</xdr:rowOff>
    </xdr:to>
    <xdr:pic>
      <xdr:nvPicPr>
        <xdr:cNvPr id="7810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233524425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1054</xdr:row>
      <xdr:rowOff>9525</xdr:rowOff>
    </xdr:from>
    <xdr:to>
      <xdr:col>1</xdr:col>
      <xdr:colOff>3705225</xdr:colOff>
      <xdr:row>1056</xdr:row>
      <xdr:rowOff>114300</xdr:rowOff>
    </xdr:to>
    <xdr:pic>
      <xdr:nvPicPr>
        <xdr:cNvPr id="7811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224247075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1009</xdr:row>
      <xdr:rowOff>9525</xdr:rowOff>
    </xdr:from>
    <xdr:to>
      <xdr:col>1</xdr:col>
      <xdr:colOff>3705225</xdr:colOff>
      <xdr:row>1011</xdr:row>
      <xdr:rowOff>114300</xdr:rowOff>
    </xdr:to>
    <xdr:pic>
      <xdr:nvPicPr>
        <xdr:cNvPr id="7811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214922100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959</xdr:row>
      <xdr:rowOff>95250</xdr:rowOff>
    </xdr:from>
    <xdr:to>
      <xdr:col>1</xdr:col>
      <xdr:colOff>3743325</xdr:colOff>
      <xdr:row>961</xdr:row>
      <xdr:rowOff>276225</xdr:rowOff>
    </xdr:to>
    <xdr:pic>
      <xdr:nvPicPr>
        <xdr:cNvPr id="7811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204006450"/>
          <a:ext cx="39052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840</xdr:row>
      <xdr:rowOff>95250</xdr:rowOff>
    </xdr:from>
    <xdr:to>
      <xdr:col>1</xdr:col>
      <xdr:colOff>3743325</xdr:colOff>
      <xdr:row>842</xdr:row>
      <xdr:rowOff>0</xdr:rowOff>
    </xdr:to>
    <xdr:pic>
      <xdr:nvPicPr>
        <xdr:cNvPr id="7811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179479575"/>
          <a:ext cx="39052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794</xdr:row>
      <xdr:rowOff>95250</xdr:rowOff>
    </xdr:from>
    <xdr:to>
      <xdr:col>1</xdr:col>
      <xdr:colOff>3743325</xdr:colOff>
      <xdr:row>796</xdr:row>
      <xdr:rowOff>200025</xdr:rowOff>
    </xdr:to>
    <xdr:pic>
      <xdr:nvPicPr>
        <xdr:cNvPr id="7811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169926000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755</xdr:row>
      <xdr:rowOff>95250</xdr:rowOff>
    </xdr:from>
    <xdr:to>
      <xdr:col>1</xdr:col>
      <xdr:colOff>3743325</xdr:colOff>
      <xdr:row>757</xdr:row>
      <xdr:rowOff>200025</xdr:rowOff>
    </xdr:to>
    <xdr:pic>
      <xdr:nvPicPr>
        <xdr:cNvPr id="7811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161848800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715</xdr:row>
      <xdr:rowOff>95250</xdr:rowOff>
    </xdr:from>
    <xdr:to>
      <xdr:col>1</xdr:col>
      <xdr:colOff>3400425</xdr:colOff>
      <xdr:row>717</xdr:row>
      <xdr:rowOff>133350</xdr:rowOff>
    </xdr:to>
    <xdr:pic>
      <xdr:nvPicPr>
        <xdr:cNvPr id="7811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153619200"/>
          <a:ext cx="35623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675</xdr:row>
      <xdr:rowOff>180975</xdr:rowOff>
    </xdr:from>
    <xdr:to>
      <xdr:col>1</xdr:col>
      <xdr:colOff>3362325</xdr:colOff>
      <xdr:row>678</xdr:row>
      <xdr:rowOff>38100</xdr:rowOff>
    </xdr:to>
    <xdr:pic>
      <xdr:nvPicPr>
        <xdr:cNvPr id="7811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145351500"/>
          <a:ext cx="35623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618</xdr:row>
      <xdr:rowOff>95250</xdr:rowOff>
    </xdr:from>
    <xdr:to>
      <xdr:col>1</xdr:col>
      <xdr:colOff>4067175</xdr:colOff>
      <xdr:row>620</xdr:row>
      <xdr:rowOff>276225</xdr:rowOff>
    </xdr:to>
    <xdr:pic>
      <xdr:nvPicPr>
        <xdr:cNvPr id="7811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132530850"/>
          <a:ext cx="42291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555</xdr:row>
      <xdr:rowOff>9525</xdr:rowOff>
    </xdr:from>
    <xdr:to>
      <xdr:col>1</xdr:col>
      <xdr:colOff>3990975</xdr:colOff>
      <xdr:row>558</xdr:row>
      <xdr:rowOff>66675</xdr:rowOff>
    </xdr:to>
    <xdr:pic>
      <xdr:nvPicPr>
        <xdr:cNvPr id="7811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119233950"/>
          <a:ext cx="4219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512</xdr:row>
      <xdr:rowOff>9525</xdr:rowOff>
    </xdr:from>
    <xdr:to>
      <xdr:col>1</xdr:col>
      <xdr:colOff>3990975</xdr:colOff>
      <xdr:row>515</xdr:row>
      <xdr:rowOff>66675</xdr:rowOff>
    </xdr:to>
    <xdr:pic>
      <xdr:nvPicPr>
        <xdr:cNvPr id="7812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109861350"/>
          <a:ext cx="4219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466</xdr:row>
      <xdr:rowOff>9525</xdr:rowOff>
    </xdr:from>
    <xdr:to>
      <xdr:col>1</xdr:col>
      <xdr:colOff>3990975</xdr:colOff>
      <xdr:row>469</xdr:row>
      <xdr:rowOff>66675</xdr:rowOff>
    </xdr:to>
    <xdr:pic>
      <xdr:nvPicPr>
        <xdr:cNvPr id="7812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99879150"/>
          <a:ext cx="4219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420</xdr:row>
      <xdr:rowOff>133350</xdr:rowOff>
    </xdr:from>
    <xdr:to>
      <xdr:col>1</xdr:col>
      <xdr:colOff>3952875</xdr:colOff>
      <xdr:row>423</xdr:row>
      <xdr:rowOff>85725</xdr:rowOff>
    </xdr:to>
    <xdr:pic>
      <xdr:nvPicPr>
        <xdr:cNvPr id="7812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8100" y="90001725"/>
          <a:ext cx="42195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378</xdr:row>
      <xdr:rowOff>133350</xdr:rowOff>
    </xdr:from>
    <xdr:to>
      <xdr:col>1</xdr:col>
      <xdr:colOff>3952875</xdr:colOff>
      <xdr:row>381</xdr:row>
      <xdr:rowOff>95250</xdr:rowOff>
    </xdr:to>
    <xdr:pic>
      <xdr:nvPicPr>
        <xdr:cNvPr id="7812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8100" y="80895825"/>
          <a:ext cx="42195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338</xdr:row>
      <xdr:rowOff>180975</xdr:rowOff>
    </xdr:from>
    <xdr:to>
      <xdr:col>1</xdr:col>
      <xdr:colOff>3362325</xdr:colOff>
      <xdr:row>341</xdr:row>
      <xdr:rowOff>38100</xdr:rowOff>
    </xdr:to>
    <xdr:pic>
      <xdr:nvPicPr>
        <xdr:cNvPr id="7812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72285225"/>
          <a:ext cx="35623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296</xdr:row>
      <xdr:rowOff>180975</xdr:rowOff>
    </xdr:from>
    <xdr:to>
      <xdr:col>1</xdr:col>
      <xdr:colOff>3590925</xdr:colOff>
      <xdr:row>299</xdr:row>
      <xdr:rowOff>38100</xdr:rowOff>
    </xdr:to>
    <xdr:pic>
      <xdr:nvPicPr>
        <xdr:cNvPr id="7812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63188850"/>
          <a:ext cx="37909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261</xdr:row>
      <xdr:rowOff>180975</xdr:rowOff>
    </xdr:from>
    <xdr:to>
      <xdr:col>1</xdr:col>
      <xdr:colOff>3590925</xdr:colOff>
      <xdr:row>264</xdr:row>
      <xdr:rowOff>38100</xdr:rowOff>
    </xdr:to>
    <xdr:pic>
      <xdr:nvPicPr>
        <xdr:cNvPr id="7812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55645050"/>
          <a:ext cx="37909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221</xdr:row>
      <xdr:rowOff>180975</xdr:rowOff>
    </xdr:from>
    <xdr:to>
      <xdr:col>1</xdr:col>
      <xdr:colOff>3590925</xdr:colOff>
      <xdr:row>224</xdr:row>
      <xdr:rowOff>38100</xdr:rowOff>
    </xdr:to>
    <xdr:pic>
      <xdr:nvPicPr>
        <xdr:cNvPr id="7812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46986825"/>
          <a:ext cx="37909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174</xdr:row>
      <xdr:rowOff>180975</xdr:rowOff>
    </xdr:from>
    <xdr:to>
      <xdr:col>1</xdr:col>
      <xdr:colOff>4381500</xdr:colOff>
      <xdr:row>177</xdr:row>
      <xdr:rowOff>38100</xdr:rowOff>
    </xdr:to>
    <xdr:pic>
      <xdr:nvPicPr>
        <xdr:cNvPr id="7812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36252150"/>
          <a:ext cx="45815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132</xdr:row>
      <xdr:rowOff>180975</xdr:rowOff>
    </xdr:from>
    <xdr:to>
      <xdr:col>1</xdr:col>
      <xdr:colOff>4381500</xdr:colOff>
      <xdr:row>135</xdr:row>
      <xdr:rowOff>38100</xdr:rowOff>
    </xdr:to>
    <xdr:pic>
      <xdr:nvPicPr>
        <xdr:cNvPr id="7812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27584400"/>
          <a:ext cx="45815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90</xdr:row>
      <xdr:rowOff>180975</xdr:rowOff>
    </xdr:from>
    <xdr:to>
      <xdr:col>1</xdr:col>
      <xdr:colOff>4381500</xdr:colOff>
      <xdr:row>93</xdr:row>
      <xdr:rowOff>38100</xdr:rowOff>
    </xdr:to>
    <xdr:pic>
      <xdr:nvPicPr>
        <xdr:cNvPr id="7813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18869025"/>
          <a:ext cx="45815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42</xdr:row>
      <xdr:rowOff>180975</xdr:rowOff>
    </xdr:from>
    <xdr:to>
      <xdr:col>1</xdr:col>
      <xdr:colOff>4381500</xdr:colOff>
      <xdr:row>44</xdr:row>
      <xdr:rowOff>9525</xdr:rowOff>
    </xdr:to>
    <xdr:pic>
      <xdr:nvPicPr>
        <xdr:cNvPr id="7813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8972550"/>
          <a:ext cx="4581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180975</xdr:rowOff>
    </xdr:from>
    <xdr:to>
      <xdr:col>1</xdr:col>
      <xdr:colOff>4381500</xdr:colOff>
      <xdr:row>3</xdr:row>
      <xdr:rowOff>9525</xdr:rowOff>
    </xdr:to>
    <xdr:pic>
      <xdr:nvPicPr>
        <xdr:cNvPr id="7813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333375"/>
          <a:ext cx="4581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838200</xdr:colOff>
      <xdr:row>934</xdr:row>
      <xdr:rowOff>161925</xdr:rowOff>
    </xdr:from>
    <xdr:to>
      <xdr:col>2</xdr:col>
      <xdr:colOff>2771775</xdr:colOff>
      <xdr:row>939</xdr:row>
      <xdr:rowOff>19050</xdr:rowOff>
    </xdr:to>
    <xdr:sp macro="" textlink="">
      <xdr:nvSpPr>
        <xdr:cNvPr id="2" name="Flowchart: Direct Access Storage 1"/>
        <xdr:cNvSpPr/>
      </xdr:nvSpPr>
      <xdr:spPr>
        <a:xfrm>
          <a:off x="1219200" y="180251100"/>
          <a:ext cx="1933575" cy="809625"/>
        </a:xfrm>
        <a:prstGeom prst="flowChartMagneticDrum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1943100</xdr:colOff>
      <xdr:row>939</xdr:row>
      <xdr:rowOff>38100</xdr:rowOff>
    </xdr:from>
    <xdr:to>
      <xdr:col>2</xdr:col>
      <xdr:colOff>2266950</xdr:colOff>
      <xdr:row>940</xdr:row>
      <xdr:rowOff>0</xdr:rowOff>
    </xdr:to>
    <xdr:sp macro="" textlink="">
      <xdr:nvSpPr>
        <xdr:cNvPr id="3" name="Flowchart: Data 2"/>
        <xdr:cNvSpPr/>
      </xdr:nvSpPr>
      <xdr:spPr>
        <a:xfrm>
          <a:off x="2324100" y="181079775"/>
          <a:ext cx="3238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2333623</xdr:colOff>
      <xdr:row>939</xdr:row>
      <xdr:rowOff>38099</xdr:rowOff>
    </xdr:from>
    <xdr:to>
      <xdr:col>2</xdr:col>
      <xdr:colOff>2647949</xdr:colOff>
      <xdr:row>939</xdr:row>
      <xdr:rowOff>180974</xdr:rowOff>
    </xdr:to>
    <xdr:sp macro="" textlink="">
      <xdr:nvSpPr>
        <xdr:cNvPr id="4" name="Flowchart: Data 3"/>
        <xdr:cNvSpPr/>
      </xdr:nvSpPr>
      <xdr:spPr>
        <a:xfrm flipH="1">
          <a:off x="2714623" y="181079774"/>
          <a:ext cx="3143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1009650</xdr:colOff>
      <xdr:row>939</xdr:row>
      <xdr:rowOff>47626</xdr:rowOff>
    </xdr:from>
    <xdr:to>
      <xdr:col>2</xdr:col>
      <xdr:colOff>1333500</xdr:colOff>
      <xdr:row>940</xdr:row>
      <xdr:rowOff>9526</xdr:rowOff>
    </xdr:to>
    <xdr:sp macro="" textlink="">
      <xdr:nvSpPr>
        <xdr:cNvPr id="5" name="Flowchart: Data 4"/>
        <xdr:cNvSpPr/>
      </xdr:nvSpPr>
      <xdr:spPr>
        <a:xfrm>
          <a:off x="1390650" y="181089301"/>
          <a:ext cx="3238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1400173</xdr:colOff>
      <xdr:row>939</xdr:row>
      <xdr:rowOff>47625</xdr:rowOff>
    </xdr:from>
    <xdr:to>
      <xdr:col>2</xdr:col>
      <xdr:colOff>1714499</xdr:colOff>
      <xdr:row>940</xdr:row>
      <xdr:rowOff>0</xdr:rowOff>
    </xdr:to>
    <xdr:sp macro="" textlink="">
      <xdr:nvSpPr>
        <xdr:cNvPr id="6" name="Flowchart: Data 5"/>
        <xdr:cNvSpPr/>
      </xdr:nvSpPr>
      <xdr:spPr>
        <a:xfrm flipH="1">
          <a:off x="1781173" y="181089300"/>
          <a:ext cx="3143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1743075</xdr:colOff>
      <xdr:row>933</xdr:row>
      <xdr:rowOff>152400</xdr:rowOff>
    </xdr:from>
    <xdr:to>
      <xdr:col>2</xdr:col>
      <xdr:colOff>1952625</xdr:colOff>
      <xdr:row>934</xdr:row>
      <xdr:rowOff>171450</xdr:rowOff>
    </xdr:to>
    <xdr:sp macro="" textlink="">
      <xdr:nvSpPr>
        <xdr:cNvPr id="7" name="Can 6"/>
        <xdr:cNvSpPr/>
      </xdr:nvSpPr>
      <xdr:spPr>
        <a:xfrm>
          <a:off x="2124075" y="180051075"/>
          <a:ext cx="209550" cy="209550"/>
        </a:xfrm>
        <a:prstGeom prst="ca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2428875</xdr:colOff>
      <xdr:row>934</xdr:row>
      <xdr:rowOff>152400</xdr:rowOff>
    </xdr:from>
    <xdr:to>
      <xdr:col>2</xdr:col>
      <xdr:colOff>3228975</xdr:colOff>
      <xdr:row>934</xdr:row>
      <xdr:rowOff>152400</xdr:rowOff>
    </xdr:to>
    <xdr:cxnSp macro="">
      <xdr:nvCxnSpPr>
        <xdr:cNvPr id="9" name="Straight Connector 8"/>
        <xdr:cNvCxnSpPr/>
      </xdr:nvCxnSpPr>
      <xdr:spPr>
        <a:xfrm>
          <a:off x="2809875" y="180241575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2419350</xdr:colOff>
      <xdr:row>939</xdr:row>
      <xdr:rowOff>9525</xdr:rowOff>
    </xdr:from>
    <xdr:to>
      <xdr:col>2</xdr:col>
      <xdr:colOff>3219450</xdr:colOff>
      <xdr:row>939</xdr:row>
      <xdr:rowOff>9525</xdr:rowOff>
    </xdr:to>
    <xdr:cxnSp macro="">
      <xdr:nvCxnSpPr>
        <xdr:cNvPr id="12" name="Straight Connector 11"/>
        <xdr:cNvCxnSpPr/>
      </xdr:nvCxnSpPr>
      <xdr:spPr>
        <a:xfrm>
          <a:off x="2800350" y="18105120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2971800</xdr:colOff>
      <xdr:row>934</xdr:row>
      <xdr:rowOff>161925</xdr:rowOff>
    </xdr:from>
    <xdr:to>
      <xdr:col>2</xdr:col>
      <xdr:colOff>2981325</xdr:colOff>
      <xdr:row>939</xdr:row>
      <xdr:rowOff>9525</xdr:rowOff>
    </xdr:to>
    <xdr:cxnSp macro="">
      <xdr:nvCxnSpPr>
        <xdr:cNvPr id="14" name="Straight Arrow Connector 13"/>
        <xdr:cNvCxnSpPr/>
      </xdr:nvCxnSpPr>
      <xdr:spPr>
        <a:xfrm>
          <a:off x="3352800" y="180251100"/>
          <a:ext cx="9525" cy="80010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3028950</xdr:colOff>
      <xdr:row>936</xdr:row>
      <xdr:rowOff>66675</xdr:rowOff>
    </xdr:from>
    <xdr:to>
      <xdr:col>2</xdr:col>
      <xdr:colOff>3333750</xdr:colOff>
      <xdr:row>937</xdr:row>
      <xdr:rowOff>133350</xdr:rowOff>
    </xdr:to>
    <xdr:sp macro="" textlink="">
      <xdr:nvSpPr>
        <xdr:cNvPr id="15" name="TextBox 14"/>
        <xdr:cNvSpPr txBox="1"/>
      </xdr:nvSpPr>
      <xdr:spPr>
        <a:xfrm>
          <a:off x="3409950" y="180536850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</a:t>
          </a:r>
        </a:p>
      </xdr:txBody>
    </xdr:sp>
    <xdr:clientData/>
  </xdr:twoCellAnchor>
  <xdr:twoCellAnchor>
    <xdr:from>
      <xdr:col>2</xdr:col>
      <xdr:colOff>838200</xdr:colOff>
      <xdr:row>936</xdr:row>
      <xdr:rowOff>28575</xdr:rowOff>
    </xdr:from>
    <xdr:to>
      <xdr:col>2</xdr:col>
      <xdr:colOff>838200</xdr:colOff>
      <xdr:row>937</xdr:row>
      <xdr:rowOff>176213</xdr:rowOff>
    </xdr:to>
    <xdr:cxnSp macro="">
      <xdr:nvCxnSpPr>
        <xdr:cNvPr id="17" name="Straight Connector 16"/>
        <xdr:cNvCxnSpPr/>
      </xdr:nvCxnSpPr>
      <xdr:spPr>
        <a:xfrm flipV="1">
          <a:off x="1219200" y="18107025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2114550</xdr:colOff>
      <xdr:row>936</xdr:row>
      <xdr:rowOff>28575</xdr:rowOff>
    </xdr:from>
    <xdr:to>
      <xdr:col>2</xdr:col>
      <xdr:colOff>2114550</xdr:colOff>
      <xdr:row>937</xdr:row>
      <xdr:rowOff>176213</xdr:rowOff>
    </xdr:to>
    <xdr:cxnSp macro="">
      <xdr:nvCxnSpPr>
        <xdr:cNvPr id="22" name="Straight Connector 21"/>
        <xdr:cNvCxnSpPr/>
      </xdr:nvCxnSpPr>
      <xdr:spPr>
        <a:xfrm flipV="1">
          <a:off x="2495550" y="18107025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847725</xdr:colOff>
      <xdr:row>936</xdr:row>
      <xdr:rowOff>185738</xdr:rowOff>
    </xdr:from>
    <xdr:to>
      <xdr:col>2</xdr:col>
      <xdr:colOff>2127250</xdr:colOff>
      <xdr:row>937</xdr:row>
      <xdr:rowOff>19052</xdr:rowOff>
    </xdr:to>
    <xdr:cxnSp macro="">
      <xdr:nvCxnSpPr>
        <xdr:cNvPr id="24" name="Straight Arrow Connector 23"/>
        <xdr:cNvCxnSpPr>
          <a:endCxn id="2" idx="3"/>
        </xdr:cNvCxnSpPr>
      </xdr:nvCxnSpPr>
      <xdr:spPr>
        <a:xfrm flipV="1">
          <a:off x="1228725" y="181227413"/>
          <a:ext cx="1279525" cy="23814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1371600</xdr:colOff>
      <xdr:row>935</xdr:row>
      <xdr:rowOff>114300</xdr:rowOff>
    </xdr:from>
    <xdr:to>
      <xdr:col>2</xdr:col>
      <xdr:colOff>1676400</xdr:colOff>
      <xdr:row>936</xdr:row>
      <xdr:rowOff>180975</xdr:rowOff>
    </xdr:to>
    <xdr:sp macro="" textlink="">
      <xdr:nvSpPr>
        <xdr:cNvPr id="29" name="TextBox 28"/>
        <xdr:cNvSpPr txBox="1"/>
      </xdr:nvSpPr>
      <xdr:spPr>
        <a:xfrm>
          <a:off x="1752600" y="180965475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</a:t>
          </a:r>
        </a:p>
      </xdr:txBody>
    </xdr:sp>
    <xdr:clientData/>
  </xdr:twoCellAnchor>
  <xdr:twoCellAnchor>
    <xdr:from>
      <xdr:col>2</xdr:col>
      <xdr:colOff>1733550</xdr:colOff>
      <xdr:row>932</xdr:row>
      <xdr:rowOff>19050</xdr:rowOff>
    </xdr:from>
    <xdr:to>
      <xdr:col>2</xdr:col>
      <xdr:colOff>1733550</xdr:colOff>
      <xdr:row>933</xdr:row>
      <xdr:rowOff>166688</xdr:rowOff>
    </xdr:to>
    <xdr:cxnSp macro="">
      <xdr:nvCxnSpPr>
        <xdr:cNvPr id="30" name="Straight Connector 29"/>
        <xdr:cNvCxnSpPr/>
      </xdr:nvCxnSpPr>
      <xdr:spPr>
        <a:xfrm flipV="1">
          <a:off x="2114550" y="18029872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1962150</xdr:colOff>
      <xdr:row>932</xdr:row>
      <xdr:rowOff>19050</xdr:rowOff>
    </xdr:from>
    <xdr:to>
      <xdr:col>2</xdr:col>
      <xdr:colOff>1962150</xdr:colOff>
      <xdr:row>933</xdr:row>
      <xdr:rowOff>166688</xdr:rowOff>
    </xdr:to>
    <xdr:cxnSp macro="">
      <xdr:nvCxnSpPr>
        <xdr:cNvPr id="31" name="Straight Connector 30"/>
        <xdr:cNvCxnSpPr/>
      </xdr:nvCxnSpPr>
      <xdr:spPr>
        <a:xfrm flipV="1">
          <a:off x="2343150" y="18029872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1733550</xdr:colOff>
      <xdr:row>932</xdr:row>
      <xdr:rowOff>38100</xdr:rowOff>
    </xdr:from>
    <xdr:to>
      <xdr:col>2</xdr:col>
      <xdr:colOff>1962150</xdr:colOff>
      <xdr:row>932</xdr:row>
      <xdr:rowOff>47625</xdr:rowOff>
    </xdr:to>
    <xdr:cxnSp macro="">
      <xdr:nvCxnSpPr>
        <xdr:cNvPr id="33" name="Straight Arrow Connector 32"/>
        <xdr:cNvCxnSpPr/>
      </xdr:nvCxnSpPr>
      <xdr:spPr>
        <a:xfrm flipV="1">
          <a:off x="2114550" y="180317775"/>
          <a:ext cx="2286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1714500</xdr:colOff>
      <xdr:row>930</xdr:row>
      <xdr:rowOff>85725</xdr:rowOff>
    </xdr:from>
    <xdr:to>
      <xdr:col>2</xdr:col>
      <xdr:colOff>2019300</xdr:colOff>
      <xdr:row>931</xdr:row>
      <xdr:rowOff>152400</xdr:rowOff>
    </xdr:to>
    <xdr:sp macro="" textlink="">
      <xdr:nvSpPr>
        <xdr:cNvPr id="34" name="TextBox 33"/>
        <xdr:cNvSpPr txBox="1"/>
      </xdr:nvSpPr>
      <xdr:spPr>
        <a:xfrm>
          <a:off x="2095500" y="179984400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dt</a:t>
          </a:r>
        </a:p>
      </xdr:txBody>
    </xdr:sp>
    <xdr:clientData/>
  </xdr:twoCellAnchor>
  <xdr:twoCellAnchor>
    <xdr:from>
      <xdr:col>2</xdr:col>
      <xdr:colOff>1924050</xdr:colOff>
      <xdr:row>933</xdr:row>
      <xdr:rowOff>171450</xdr:rowOff>
    </xdr:from>
    <xdr:to>
      <xdr:col>2</xdr:col>
      <xdr:colOff>2724150</xdr:colOff>
      <xdr:row>933</xdr:row>
      <xdr:rowOff>171450</xdr:rowOff>
    </xdr:to>
    <xdr:cxnSp macro="">
      <xdr:nvCxnSpPr>
        <xdr:cNvPr id="35" name="Straight Connector 34"/>
        <xdr:cNvCxnSpPr/>
      </xdr:nvCxnSpPr>
      <xdr:spPr>
        <a:xfrm>
          <a:off x="2305050" y="180641625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2657475</xdr:colOff>
      <xdr:row>933</xdr:row>
      <xdr:rowOff>171450</xdr:rowOff>
    </xdr:from>
    <xdr:to>
      <xdr:col>2</xdr:col>
      <xdr:colOff>2657476</xdr:colOff>
      <xdr:row>934</xdr:row>
      <xdr:rowOff>161925</xdr:rowOff>
    </xdr:to>
    <xdr:cxnSp macro="">
      <xdr:nvCxnSpPr>
        <xdr:cNvPr id="36" name="Straight Arrow Connector 35"/>
        <xdr:cNvCxnSpPr/>
      </xdr:nvCxnSpPr>
      <xdr:spPr>
        <a:xfrm>
          <a:off x="3038475" y="18064162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2714625</xdr:colOff>
      <xdr:row>933</xdr:row>
      <xdr:rowOff>114300</xdr:rowOff>
    </xdr:from>
    <xdr:to>
      <xdr:col>2</xdr:col>
      <xdr:colOff>3019425</xdr:colOff>
      <xdr:row>934</xdr:row>
      <xdr:rowOff>180975</xdr:rowOff>
    </xdr:to>
    <xdr:sp macro="" textlink="">
      <xdr:nvSpPr>
        <xdr:cNvPr id="39" name="TextBox 38"/>
        <xdr:cNvSpPr txBox="1"/>
      </xdr:nvSpPr>
      <xdr:spPr>
        <a:xfrm>
          <a:off x="3095625" y="180584475"/>
          <a:ext cx="3048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tt</a:t>
          </a:r>
        </a:p>
      </xdr:txBody>
    </xdr:sp>
    <xdr:clientData/>
  </xdr:twoCellAnchor>
  <xdr:twoCellAnchor>
    <xdr:from>
      <xdr:col>2</xdr:col>
      <xdr:colOff>866775</xdr:colOff>
      <xdr:row>939</xdr:row>
      <xdr:rowOff>123826</xdr:rowOff>
    </xdr:from>
    <xdr:to>
      <xdr:col>2</xdr:col>
      <xdr:colOff>1042035</xdr:colOff>
      <xdr:row>941</xdr:row>
      <xdr:rowOff>152400</xdr:rowOff>
    </xdr:to>
    <xdr:cxnSp macro="">
      <xdr:nvCxnSpPr>
        <xdr:cNvPr id="40" name="Straight Connector 39"/>
        <xdr:cNvCxnSpPr>
          <a:endCxn id="5" idx="2"/>
        </xdr:cNvCxnSpPr>
      </xdr:nvCxnSpPr>
      <xdr:spPr>
        <a:xfrm flipV="1">
          <a:off x="1247775" y="181737001"/>
          <a:ext cx="1752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1133475</xdr:colOff>
      <xdr:row>939</xdr:row>
      <xdr:rowOff>114300</xdr:rowOff>
    </xdr:from>
    <xdr:to>
      <xdr:col>2</xdr:col>
      <xdr:colOff>1308735</xdr:colOff>
      <xdr:row>941</xdr:row>
      <xdr:rowOff>142874</xdr:rowOff>
    </xdr:to>
    <xdr:cxnSp macro="">
      <xdr:nvCxnSpPr>
        <xdr:cNvPr id="43" name="Straight Connector 42"/>
        <xdr:cNvCxnSpPr/>
      </xdr:nvCxnSpPr>
      <xdr:spPr>
        <a:xfrm flipV="1">
          <a:off x="1514475" y="181727475"/>
          <a:ext cx="1752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866775</xdr:colOff>
      <xdr:row>941</xdr:row>
      <xdr:rowOff>161925</xdr:rowOff>
    </xdr:from>
    <xdr:to>
      <xdr:col>2</xdr:col>
      <xdr:colOff>1095375</xdr:colOff>
      <xdr:row>941</xdr:row>
      <xdr:rowOff>171450</xdr:rowOff>
    </xdr:to>
    <xdr:cxnSp macro="">
      <xdr:nvCxnSpPr>
        <xdr:cNvPr id="44" name="Straight Arrow Connector 43"/>
        <xdr:cNvCxnSpPr/>
      </xdr:nvCxnSpPr>
      <xdr:spPr>
        <a:xfrm flipV="1">
          <a:off x="1247775" y="182156100"/>
          <a:ext cx="2286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876299</xdr:colOff>
      <xdr:row>940</xdr:row>
      <xdr:rowOff>104775</xdr:rowOff>
    </xdr:from>
    <xdr:to>
      <xdr:col>2</xdr:col>
      <xdr:colOff>1228724</xdr:colOff>
      <xdr:row>941</xdr:row>
      <xdr:rowOff>171450</xdr:rowOff>
    </xdr:to>
    <xdr:sp macro="" textlink="">
      <xdr:nvSpPr>
        <xdr:cNvPr id="45" name="TextBox 44"/>
        <xdr:cNvSpPr txBox="1"/>
      </xdr:nvSpPr>
      <xdr:spPr>
        <a:xfrm>
          <a:off x="1257299" y="181908450"/>
          <a:ext cx="3524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Lk</a:t>
          </a:r>
        </a:p>
      </xdr:txBody>
    </xdr:sp>
    <xdr:clientData/>
  </xdr:twoCellAnchor>
  <xdr:twoCellAnchor>
    <xdr:from>
      <xdr:col>2</xdr:col>
      <xdr:colOff>400050</xdr:colOff>
      <xdr:row>939</xdr:row>
      <xdr:rowOff>47625</xdr:rowOff>
    </xdr:from>
    <xdr:to>
      <xdr:col>2</xdr:col>
      <xdr:colOff>1200150</xdr:colOff>
      <xdr:row>939</xdr:row>
      <xdr:rowOff>47625</xdr:rowOff>
    </xdr:to>
    <xdr:cxnSp macro="">
      <xdr:nvCxnSpPr>
        <xdr:cNvPr id="46" name="Straight Connector 45"/>
        <xdr:cNvCxnSpPr/>
      </xdr:nvCxnSpPr>
      <xdr:spPr>
        <a:xfrm>
          <a:off x="781050" y="18166080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419100</xdr:colOff>
      <xdr:row>940</xdr:row>
      <xdr:rowOff>9525</xdr:rowOff>
    </xdr:from>
    <xdr:to>
      <xdr:col>2</xdr:col>
      <xdr:colOff>1219200</xdr:colOff>
      <xdr:row>940</xdr:row>
      <xdr:rowOff>9525</xdr:rowOff>
    </xdr:to>
    <xdr:cxnSp macro="">
      <xdr:nvCxnSpPr>
        <xdr:cNvPr id="47" name="Straight Connector 46"/>
        <xdr:cNvCxnSpPr/>
      </xdr:nvCxnSpPr>
      <xdr:spPr>
        <a:xfrm>
          <a:off x="800100" y="18181320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485775</xdr:colOff>
      <xdr:row>939</xdr:row>
      <xdr:rowOff>38100</xdr:rowOff>
    </xdr:from>
    <xdr:to>
      <xdr:col>2</xdr:col>
      <xdr:colOff>485776</xdr:colOff>
      <xdr:row>940</xdr:row>
      <xdr:rowOff>28575</xdr:rowOff>
    </xdr:to>
    <xdr:cxnSp macro="">
      <xdr:nvCxnSpPr>
        <xdr:cNvPr id="48" name="Straight Arrow Connector 47"/>
        <xdr:cNvCxnSpPr/>
      </xdr:nvCxnSpPr>
      <xdr:spPr>
        <a:xfrm>
          <a:off x="866775" y="18165127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542925</xdr:colOff>
      <xdr:row>938</xdr:row>
      <xdr:rowOff>171450</xdr:rowOff>
    </xdr:from>
    <xdr:to>
      <xdr:col>2</xdr:col>
      <xdr:colOff>847725</xdr:colOff>
      <xdr:row>940</xdr:row>
      <xdr:rowOff>47625</xdr:rowOff>
    </xdr:to>
    <xdr:sp macro="" textlink="">
      <xdr:nvSpPr>
        <xdr:cNvPr id="49" name="TextBox 48"/>
        <xdr:cNvSpPr txBox="1"/>
      </xdr:nvSpPr>
      <xdr:spPr>
        <a:xfrm>
          <a:off x="923925" y="181594125"/>
          <a:ext cx="3048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tk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209550</xdr:colOff>
      <xdr:row>37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ZULHAM/terbilang.xl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on/Application%20Data/Microsoft/AddIns/pembilang1.xls.xla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terbilang"/>
    </sheetNames>
    <definedNames>
      <definedName name="terbilang"/>
    </defined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AB RUMAH SUSUN"/>
      <sheetName val="Sheet1"/>
      <sheetName val="Sheet2"/>
      <sheetName val="Sheet3"/>
      <sheetName val="pembilang1.xls"/>
    </sheetNames>
    <definedNames>
      <definedName name="terbilang" refersTo="#REF!"/>
    </defined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R60"/>
  <sheetViews>
    <sheetView tabSelected="1" topLeftCell="D27" workbookViewId="0">
      <pane xSplit="5232" topLeftCell="C1" activePane="topRight"/>
      <selection activeCell="D46" sqref="A46:XFD46"/>
      <selection pane="topRight" activeCell="AB35" sqref="D35:AB54"/>
    </sheetView>
  </sheetViews>
  <sheetFormatPr defaultColWidth="7.44140625" defaultRowHeight="14.4"/>
  <cols>
    <col min="8" max="22" width="0" hidden="1" customWidth="1"/>
    <col min="30" max="31" width="8.5546875" customWidth="1"/>
    <col min="37" max="37" width="10.5546875" customWidth="1"/>
  </cols>
  <sheetData>
    <row r="1" spans="1:17" ht="18.75" customHeight="1">
      <c r="A1" s="1431" t="s">
        <v>1220</v>
      </c>
      <c r="B1" s="1431"/>
      <c r="C1" s="1431"/>
      <c r="D1" s="1431"/>
      <c r="E1" s="1431"/>
      <c r="F1" s="1431"/>
      <c r="G1" s="1431"/>
      <c r="H1" s="1431"/>
      <c r="I1" s="1431"/>
      <c r="J1" s="1432"/>
      <c r="K1" s="1432"/>
      <c r="L1" s="1432"/>
      <c r="M1" s="1432"/>
      <c r="N1" s="1432"/>
      <c r="O1" s="1432"/>
      <c r="P1" s="1432"/>
      <c r="Q1" s="1432"/>
    </row>
    <row r="2" spans="1:17" ht="15.75" customHeight="1">
      <c r="A2" s="1433" t="s">
        <v>2314</v>
      </c>
      <c r="B2" s="1433"/>
      <c r="C2" s="1433"/>
      <c r="D2" s="1433"/>
      <c r="E2" s="1433"/>
      <c r="F2" s="1433"/>
      <c r="G2" s="1433"/>
      <c r="H2" s="1433"/>
      <c r="I2" s="1433"/>
      <c r="J2" s="1432"/>
      <c r="K2" s="1432"/>
      <c r="L2" s="1432"/>
      <c r="M2" s="1432"/>
      <c r="N2" s="1432"/>
      <c r="O2" s="1432"/>
      <c r="P2" s="1432"/>
      <c r="Q2" s="1432"/>
    </row>
    <row r="6" spans="1:17">
      <c r="L6" s="1430" t="s">
        <v>2319</v>
      </c>
      <c r="M6" t="s">
        <v>2320</v>
      </c>
    </row>
    <row r="7" spans="1:17">
      <c r="L7" s="1430" t="s">
        <v>2321</v>
      </c>
      <c r="M7" t="s">
        <v>2322</v>
      </c>
    </row>
    <row r="8" spans="1:17">
      <c r="L8" s="1430" t="s">
        <v>2315</v>
      </c>
      <c r="M8" t="s">
        <v>2316</v>
      </c>
    </row>
    <row r="9" spans="1:17">
      <c r="L9" s="1430" t="s">
        <v>2317</v>
      </c>
      <c r="M9" t="s">
        <v>2318</v>
      </c>
    </row>
    <row r="10" spans="1:17">
      <c r="L10" s="1435" t="s">
        <v>2332</v>
      </c>
      <c r="M10" t="s">
        <v>2324</v>
      </c>
    </row>
    <row r="11" spans="1:17">
      <c r="L11" s="1430" t="s">
        <v>2325</v>
      </c>
      <c r="M11" t="s">
        <v>2326</v>
      </c>
    </row>
    <row r="12" spans="1:17">
      <c r="L12" s="1435" t="s">
        <v>2333</v>
      </c>
      <c r="M12" s="832" t="s">
        <v>2334</v>
      </c>
    </row>
    <row r="16" spans="1:17">
      <c r="K16" s="1434" t="s">
        <v>2328</v>
      </c>
      <c r="O16" s="833" t="s">
        <v>2330</v>
      </c>
    </row>
    <row r="17" spans="10:15">
      <c r="K17" s="1436" t="s">
        <v>2336</v>
      </c>
      <c r="O17" s="833" t="s">
        <v>2329</v>
      </c>
    </row>
    <row r="18" spans="10:15">
      <c r="K18" s="832" t="s">
        <v>2331</v>
      </c>
      <c r="O18" s="833" t="s">
        <v>2335</v>
      </c>
    </row>
    <row r="20" spans="10:15">
      <c r="K20" t="s">
        <v>2345</v>
      </c>
    </row>
    <row r="24" spans="10:15">
      <c r="J24" s="1436" t="s">
        <v>2351</v>
      </c>
      <c r="N24" s="833" t="s">
        <v>2352</v>
      </c>
    </row>
    <row r="25" spans="10:15">
      <c r="J25" s="1434" t="s">
        <v>2328</v>
      </c>
      <c r="N25" s="833" t="s">
        <v>2354</v>
      </c>
    </row>
    <row r="26" spans="10:15">
      <c r="J26" s="832" t="s">
        <v>2331</v>
      </c>
      <c r="N26" s="833" t="s">
        <v>2335</v>
      </c>
    </row>
    <row r="36" spans="4:44">
      <c r="V36" s="1466">
        <v>3</v>
      </c>
      <c r="W36" s="1466"/>
      <c r="X36" s="1466"/>
      <c r="Y36" s="520"/>
      <c r="Z36" s="520"/>
      <c r="AA36" s="1467"/>
      <c r="AB36" s="1469"/>
      <c r="AC36" s="1469"/>
      <c r="AD36" s="1469">
        <v>5</v>
      </c>
      <c r="AE36" s="1467">
        <v>0.5</v>
      </c>
    </row>
    <row r="37" spans="4:44">
      <c r="D37" s="1445" t="s">
        <v>2344</v>
      </c>
      <c r="O37" s="1439" t="s">
        <v>2340</v>
      </c>
      <c r="P37" s="1440"/>
      <c r="Q37" s="1440"/>
      <c r="R37" s="1441"/>
      <c r="U37" s="1461" t="s">
        <v>2379</v>
      </c>
      <c r="V37" s="1461" t="s">
        <v>2380</v>
      </c>
      <c r="W37" s="1461" t="s">
        <v>2474</v>
      </c>
      <c r="X37" s="1461" t="s">
        <v>2475</v>
      </c>
      <c r="Y37" s="1461" t="s">
        <v>2391</v>
      </c>
      <c r="Z37" s="1461" t="s">
        <v>2386</v>
      </c>
      <c r="AA37" s="1461" t="s">
        <v>2392</v>
      </c>
      <c r="AB37" s="1461" t="s">
        <v>2404</v>
      </c>
      <c r="AC37" s="1461" t="s">
        <v>2396</v>
      </c>
      <c r="AD37" s="1461" t="s">
        <v>2394</v>
      </c>
      <c r="AE37" s="1461" t="s">
        <v>2382</v>
      </c>
      <c r="AF37" s="1506" t="s">
        <v>2384</v>
      </c>
      <c r="AG37" s="1507"/>
      <c r="AH37" s="1508"/>
      <c r="AI37" s="1481"/>
      <c r="AJ37" s="1481"/>
      <c r="AK37" s="1461" t="s">
        <v>2439</v>
      </c>
      <c r="AM37" s="1490" t="s">
        <v>2439</v>
      </c>
      <c r="AN37" s="1488"/>
      <c r="AO37" s="1488"/>
      <c r="AP37" s="1484" t="s">
        <v>2442</v>
      </c>
      <c r="AQ37" s="1484"/>
      <c r="AR37" s="1491" t="s">
        <v>2445</v>
      </c>
    </row>
    <row r="38" spans="4:44">
      <c r="D38" s="985" t="s">
        <v>530</v>
      </c>
      <c r="E38" s="1439" t="s">
        <v>2327</v>
      </c>
      <c r="F38" s="1450"/>
      <c r="G38" s="554"/>
      <c r="H38" s="1437" t="s">
        <v>2319</v>
      </c>
      <c r="I38" s="1437" t="s">
        <v>2321</v>
      </c>
      <c r="J38" s="1437" t="s">
        <v>2315</v>
      </c>
      <c r="K38" s="1437" t="s">
        <v>2317</v>
      </c>
      <c r="L38" s="1437" t="s">
        <v>2332</v>
      </c>
      <c r="M38" s="1437" t="s">
        <v>2325</v>
      </c>
      <c r="N38" s="1437" t="s">
        <v>2333</v>
      </c>
      <c r="O38" s="1437" t="s">
        <v>2339</v>
      </c>
      <c r="P38" s="1437" t="s">
        <v>2337</v>
      </c>
      <c r="Q38" s="1437" t="s">
        <v>2338</v>
      </c>
      <c r="R38" s="1437" t="s">
        <v>503</v>
      </c>
      <c r="S38" s="1437" t="s">
        <v>531</v>
      </c>
      <c r="T38" s="1452" t="s">
        <v>2359</v>
      </c>
      <c r="U38" s="1462" t="s">
        <v>30</v>
      </c>
      <c r="V38" s="1462" t="s">
        <v>2381</v>
      </c>
      <c r="W38" s="1462">
        <v>1.5</v>
      </c>
      <c r="X38" s="1462">
        <v>0.4</v>
      </c>
      <c r="Y38" s="1462" t="s">
        <v>2390</v>
      </c>
      <c r="Z38" s="1462" t="s">
        <v>2390</v>
      </c>
      <c r="AA38" s="1462" t="s">
        <v>2393</v>
      </c>
      <c r="AB38" s="1462" t="s">
        <v>2393</v>
      </c>
      <c r="AC38" s="1462" t="s">
        <v>2397</v>
      </c>
      <c r="AD38" s="1462" t="s">
        <v>2395</v>
      </c>
      <c r="AE38" s="1462" t="s">
        <v>2383</v>
      </c>
      <c r="AF38" s="1452" t="s">
        <v>2385</v>
      </c>
      <c r="AG38" s="1452" t="s">
        <v>2174</v>
      </c>
      <c r="AH38" s="1452" t="s">
        <v>503</v>
      </c>
      <c r="AI38" s="1480">
        <v>180</v>
      </c>
      <c r="AJ38" s="1480"/>
      <c r="AK38" s="1462" t="s">
        <v>2440</v>
      </c>
      <c r="AL38">
        <v>3.5</v>
      </c>
      <c r="AM38" s="1462" t="s">
        <v>2441</v>
      </c>
      <c r="AN38" s="1462" t="s">
        <v>2428</v>
      </c>
      <c r="AO38" s="1462" t="s">
        <v>2437</v>
      </c>
      <c r="AP38" s="1462" t="s">
        <v>2443</v>
      </c>
      <c r="AQ38" s="1462" t="s">
        <v>2444</v>
      </c>
      <c r="AR38" s="1462" t="s">
        <v>2446</v>
      </c>
    </row>
    <row r="39" spans="4:44">
      <c r="D39" s="548">
        <v>1</v>
      </c>
      <c r="E39" s="832" t="s">
        <v>2341</v>
      </c>
      <c r="G39" s="554"/>
      <c r="H39" s="1438">
        <v>2.2000000000000002</v>
      </c>
      <c r="I39" s="1438">
        <v>4.5999999999999996</v>
      </c>
      <c r="J39" s="1438">
        <v>0.5</v>
      </c>
      <c r="K39" s="1438">
        <v>0.1</v>
      </c>
      <c r="L39" s="1438">
        <v>0.4</v>
      </c>
      <c r="M39" s="1438">
        <v>0.2</v>
      </c>
      <c r="N39" s="1438">
        <v>0.15</v>
      </c>
      <c r="O39" s="1438">
        <f>(3.14*J39*K39)+(3.14*(0.5*J39)^2)</f>
        <v>0.35325000000000006</v>
      </c>
      <c r="P39" s="1438">
        <f>(3.14*H39*I39)+(2*3.14*(0.5*H39)^2)</f>
        <v>39.375600000000006</v>
      </c>
      <c r="Q39" s="1438">
        <f xml:space="preserve"> 4*((2*L39*M39)+(4*L39*N39))</f>
        <v>1.6</v>
      </c>
      <c r="R39" s="1438">
        <f>+O39+P39+Q39</f>
        <v>41.32885000000001</v>
      </c>
      <c r="S39" s="1446">
        <f>3.14*(0.5*H39)^2*I39*1000</f>
        <v>17477.240000000002</v>
      </c>
      <c r="T39" s="547">
        <v>16000</v>
      </c>
      <c r="U39" s="1464">
        <f>ROUNDUP(R39,0)</f>
        <v>42</v>
      </c>
      <c r="V39" s="1464">
        <f>ROUNDUP(V$36*U39/8,0)</f>
        <v>16</v>
      </c>
      <c r="W39" s="1464">
        <f>V39/W$38</f>
        <v>10.666666666666666</v>
      </c>
      <c r="X39" s="1464">
        <f>W39*X$38</f>
        <v>4.2666666666666666</v>
      </c>
      <c r="Y39" s="1464">
        <v>2</v>
      </c>
      <c r="Z39" s="1464">
        <v>1</v>
      </c>
      <c r="AA39" s="1464">
        <v>1</v>
      </c>
      <c r="AB39" s="1464">
        <v>1</v>
      </c>
      <c r="AC39" s="1464">
        <v>2</v>
      </c>
      <c r="AD39" s="1463">
        <f>+U39/AD$36</f>
        <v>8.4</v>
      </c>
      <c r="AE39" s="1463">
        <f>+AE$36*U39</f>
        <v>21</v>
      </c>
      <c r="AF39" s="1464">
        <v>3</v>
      </c>
      <c r="AG39" s="1464">
        <v>2</v>
      </c>
      <c r="AH39" s="1464">
        <f>+AF39+AG39</f>
        <v>5</v>
      </c>
      <c r="AI39" s="1482">
        <v>900</v>
      </c>
      <c r="AJ39" s="1482">
        <f>+AI39-100</f>
        <v>800</v>
      </c>
      <c r="AK39" s="547">
        <v>4</v>
      </c>
      <c r="AL39" s="547">
        <f>AL$38*AK39</f>
        <v>14</v>
      </c>
      <c r="AM39" s="1486">
        <f>+V39-AL39</f>
        <v>2</v>
      </c>
      <c r="AN39" s="547">
        <f>ROUNDDOWN(V39/3,0)</f>
        <v>5</v>
      </c>
      <c r="AO39" s="547">
        <v>9</v>
      </c>
      <c r="AP39" s="547">
        <v>2</v>
      </c>
      <c r="AQ39" s="547">
        <v>2</v>
      </c>
      <c r="AR39" s="547"/>
    </row>
    <row r="40" spans="4:44">
      <c r="D40" s="548">
        <f>+D39+1</f>
        <v>2</v>
      </c>
      <c r="E40" s="1444" t="s">
        <v>2342</v>
      </c>
      <c r="F40" s="1448"/>
      <c r="G40" s="554"/>
      <c r="H40" s="1438">
        <v>1.5</v>
      </c>
      <c r="I40" s="1438">
        <v>3.2</v>
      </c>
      <c r="J40" s="1438">
        <v>0.5</v>
      </c>
      <c r="K40" s="1438">
        <v>0.1</v>
      </c>
      <c r="L40" s="1438">
        <v>0.4</v>
      </c>
      <c r="M40" s="1438">
        <v>0.2</v>
      </c>
      <c r="N40" s="1438">
        <v>0.15</v>
      </c>
      <c r="O40" s="1438">
        <f>(3.14*J40*K40)+(3.14*(0.5*J40)^2)</f>
        <v>0.35325000000000006</v>
      </c>
      <c r="P40" s="1438">
        <f>(3.14*H40*I40)+(2*3.14*(0.5*H40)^2)</f>
        <v>18.604500000000002</v>
      </c>
      <c r="Q40" s="1438">
        <f xml:space="preserve"> 4*((2*L40*M40)+(4*L40*N40))</f>
        <v>1.6</v>
      </c>
      <c r="R40" s="1438">
        <f>+O40+P40+Q40</f>
        <v>20.557750000000002</v>
      </c>
      <c r="S40" s="1446">
        <f>3.14*(0.5*H40)^2*I40*1000</f>
        <v>5652.0000000000009</v>
      </c>
      <c r="T40" s="547">
        <v>6000</v>
      </c>
      <c r="U40" s="1464">
        <f t="shared" ref="U40:U53" si="0">ROUNDUP(R40,0)</f>
        <v>21</v>
      </c>
      <c r="V40" s="1464">
        <f t="shared" ref="V40:V53" si="1">ROUNDUP(V$36*U40/8,0)</f>
        <v>8</v>
      </c>
      <c r="W40" s="1464">
        <f t="shared" ref="W40:W50" si="2">V40/W$38</f>
        <v>5.333333333333333</v>
      </c>
      <c r="X40" s="1464">
        <f t="shared" ref="X40:X50" si="3">W40*X$38</f>
        <v>2.1333333333333333</v>
      </c>
      <c r="Y40" s="1464">
        <v>2</v>
      </c>
      <c r="Z40" s="1464">
        <v>1</v>
      </c>
      <c r="AA40" s="1464">
        <v>1</v>
      </c>
      <c r="AB40" s="1464">
        <v>1</v>
      </c>
      <c r="AC40" s="1464">
        <v>2</v>
      </c>
      <c r="AD40" s="1463">
        <f>+U40/AD$36</f>
        <v>4.2</v>
      </c>
      <c r="AE40" s="1463">
        <f>+AE$36*U40</f>
        <v>10.5</v>
      </c>
      <c r="AF40" s="1464">
        <v>2</v>
      </c>
      <c r="AG40" s="1464">
        <v>2</v>
      </c>
      <c r="AH40" s="1464">
        <f t="shared" ref="AH40:AH50" si="4">+AF40+AG40</f>
        <v>4</v>
      </c>
      <c r="AI40" s="1482">
        <v>750</v>
      </c>
      <c r="AJ40" s="1494">
        <v>800</v>
      </c>
      <c r="AK40" s="547">
        <v>2</v>
      </c>
      <c r="AL40" s="547">
        <f t="shared" ref="AL40:AL50" si="5">AL$38*AK40</f>
        <v>7</v>
      </c>
      <c r="AM40" s="1486">
        <f>+V40-AL40</f>
        <v>1</v>
      </c>
      <c r="AN40" s="547">
        <f>ROUNDDOWN(V40/3,0)</f>
        <v>2</v>
      </c>
      <c r="AO40" s="547">
        <v>6</v>
      </c>
      <c r="AP40" s="547">
        <v>2</v>
      </c>
      <c r="AQ40" s="547">
        <v>2</v>
      </c>
      <c r="AR40" s="547"/>
    </row>
    <row r="41" spans="4:44">
      <c r="D41" s="548">
        <f>+D40+1</f>
        <v>3</v>
      </c>
      <c r="E41" s="1442" t="s">
        <v>2343</v>
      </c>
      <c r="F41" s="1449"/>
      <c r="G41" s="554"/>
      <c r="H41" s="1438">
        <v>1.4</v>
      </c>
      <c r="I41" s="1438">
        <v>3.46</v>
      </c>
      <c r="J41" s="1438">
        <v>0.5</v>
      </c>
      <c r="K41" s="1438">
        <v>0.1</v>
      </c>
      <c r="L41" s="1438">
        <v>0.4</v>
      </c>
      <c r="M41" s="1438">
        <v>0.2</v>
      </c>
      <c r="N41" s="1438">
        <v>0.15</v>
      </c>
      <c r="O41" s="1438">
        <f>(3.14*J41*K41)+(3.14*(0.5*J41)^2)</f>
        <v>0.35325000000000006</v>
      </c>
      <c r="P41" s="1438">
        <f>(3.14*H41*I41)+(2*3.14*(0.5*H41)^2)</f>
        <v>18.28736</v>
      </c>
      <c r="Q41" s="1438">
        <f xml:space="preserve"> 4*((2*L41*M41)+(4*L41*N41))</f>
        <v>1.6</v>
      </c>
      <c r="R41" s="1438">
        <f>+O41+P41+Q41</f>
        <v>20.24061</v>
      </c>
      <c r="S41" s="1446">
        <f>3.14*(0.5*H41)^2*I41*1000</f>
        <v>5323.5559999999996</v>
      </c>
      <c r="T41" s="547">
        <v>6000</v>
      </c>
      <c r="U41" s="1464">
        <f t="shared" si="0"/>
        <v>21</v>
      </c>
      <c r="V41" s="1464">
        <f t="shared" si="1"/>
        <v>8</v>
      </c>
      <c r="W41" s="1464">
        <f t="shared" si="2"/>
        <v>5.333333333333333</v>
      </c>
      <c r="X41" s="1464">
        <f t="shared" si="3"/>
        <v>2.1333333333333333</v>
      </c>
      <c r="Y41" s="1464">
        <v>2</v>
      </c>
      <c r="Z41" s="1464">
        <v>1</v>
      </c>
      <c r="AA41" s="1464"/>
      <c r="AB41" s="1464">
        <v>1</v>
      </c>
      <c r="AC41" s="1464">
        <v>2</v>
      </c>
      <c r="AD41" s="1463">
        <f>+U41/AD$36</f>
        <v>4.2</v>
      </c>
      <c r="AE41" s="1463">
        <f>+AE$36*U41</f>
        <v>10.5</v>
      </c>
      <c r="AF41" s="1464">
        <v>2</v>
      </c>
      <c r="AG41" s="1464">
        <v>2</v>
      </c>
      <c r="AH41" s="1464">
        <f t="shared" si="4"/>
        <v>4</v>
      </c>
      <c r="AI41" s="1482">
        <v>800</v>
      </c>
      <c r="AJ41" s="1494">
        <v>750</v>
      </c>
      <c r="AK41" s="547">
        <v>2</v>
      </c>
      <c r="AL41" s="547">
        <f t="shared" si="5"/>
        <v>7</v>
      </c>
      <c r="AM41" s="1486">
        <f>+V41-AL41</f>
        <v>1</v>
      </c>
      <c r="AN41" s="547">
        <f>ROUNDDOWN(V41/3,0)</f>
        <v>2</v>
      </c>
      <c r="AO41" s="547">
        <v>4</v>
      </c>
      <c r="AP41" s="547">
        <v>2</v>
      </c>
      <c r="AQ41" s="547">
        <v>2</v>
      </c>
      <c r="AR41" s="547"/>
    </row>
    <row r="42" spans="4:44">
      <c r="D42" s="548">
        <f t="shared" ref="D42:D43" si="6">+D41+1</f>
        <v>4</v>
      </c>
      <c r="E42" s="1442" t="s">
        <v>2346</v>
      </c>
      <c r="F42" s="1449"/>
      <c r="G42" s="554"/>
      <c r="H42" s="1438">
        <v>1.77</v>
      </c>
      <c r="I42" s="1438">
        <v>3.1</v>
      </c>
      <c r="J42" s="1438">
        <v>0.5</v>
      </c>
      <c r="K42" s="1438">
        <v>0.1</v>
      </c>
      <c r="L42" s="1438">
        <v>0.4</v>
      </c>
      <c r="M42" s="1438">
        <v>0.2</v>
      </c>
      <c r="N42" s="1438">
        <v>0.15</v>
      </c>
      <c r="O42" s="1438">
        <f t="shared" ref="O42:O50" si="7">(3.14*J42*K42)+(3.14*(0.5*J42)^2)</f>
        <v>0.35325000000000006</v>
      </c>
      <c r="P42" s="1438">
        <f t="shared" ref="P42:P43" si="8">(3.14*H42*I42)+(2*3.14*(0.5*H42)^2)</f>
        <v>22.147833000000006</v>
      </c>
      <c r="Q42" s="1438">
        <f t="shared" ref="Q42:Q50" si="9" xml:space="preserve"> 4*((2*L42*M42)+(4*L42*N42))</f>
        <v>1.6</v>
      </c>
      <c r="R42" s="1438">
        <f t="shared" ref="R42:R50" si="10">+O42+P42+Q42</f>
        <v>24.101083000000006</v>
      </c>
      <c r="S42" s="1446">
        <f>3.14*(0.5*H42)^2*I42*1000</f>
        <v>7623.9121500000019</v>
      </c>
      <c r="T42" s="547">
        <v>9000</v>
      </c>
      <c r="U42" s="1464">
        <f t="shared" si="0"/>
        <v>25</v>
      </c>
      <c r="V42" s="1464">
        <f t="shared" si="1"/>
        <v>10</v>
      </c>
      <c r="W42" s="1464">
        <f t="shared" si="2"/>
        <v>6.666666666666667</v>
      </c>
      <c r="X42" s="1464">
        <f t="shared" si="3"/>
        <v>2.666666666666667</v>
      </c>
      <c r="Y42" s="1464">
        <v>2</v>
      </c>
      <c r="Z42" s="1464">
        <v>1</v>
      </c>
      <c r="AA42" s="1464">
        <v>1</v>
      </c>
      <c r="AB42" s="1464">
        <v>1</v>
      </c>
      <c r="AC42" s="1464">
        <v>2</v>
      </c>
      <c r="AD42" s="1463">
        <f>+U42/AD$36</f>
        <v>5</v>
      </c>
      <c r="AE42" s="1463">
        <f>+AE$36*U42</f>
        <v>12.5</v>
      </c>
      <c r="AF42" s="1464">
        <v>2</v>
      </c>
      <c r="AG42" s="1464">
        <v>2</v>
      </c>
      <c r="AH42" s="1464">
        <f t="shared" si="4"/>
        <v>4</v>
      </c>
      <c r="AI42" s="1482">
        <v>800</v>
      </c>
      <c r="AJ42" s="1494">
        <v>750</v>
      </c>
      <c r="AK42" s="547">
        <v>2</v>
      </c>
      <c r="AL42" s="547">
        <f t="shared" si="5"/>
        <v>7</v>
      </c>
      <c r="AM42" s="1486">
        <f>+V42-AL42</f>
        <v>3</v>
      </c>
      <c r="AN42" s="547">
        <f>ROUNDDOWN(V42/3,0)</f>
        <v>3</v>
      </c>
      <c r="AO42" s="547">
        <v>4</v>
      </c>
      <c r="AP42" s="547">
        <v>2</v>
      </c>
      <c r="AQ42" s="547">
        <v>2</v>
      </c>
      <c r="AR42" s="547"/>
    </row>
    <row r="43" spans="4:44">
      <c r="D43" s="548">
        <f t="shared" si="6"/>
        <v>5</v>
      </c>
      <c r="E43" s="1442" t="s">
        <v>2348</v>
      </c>
      <c r="F43" s="1449"/>
      <c r="G43" s="554"/>
      <c r="H43" s="1438">
        <v>1.73</v>
      </c>
      <c r="I43" s="1438">
        <v>3.08</v>
      </c>
      <c r="J43" s="1438">
        <v>0.5</v>
      </c>
      <c r="K43" s="1438">
        <v>0.1</v>
      </c>
      <c r="L43" s="1438">
        <v>0.4</v>
      </c>
      <c r="M43" s="1438">
        <v>0.2</v>
      </c>
      <c r="N43" s="1438">
        <v>0.15</v>
      </c>
      <c r="O43" s="1438">
        <f t="shared" si="7"/>
        <v>0.35325000000000006</v>
      </c>
      <c r="P43" s="1438">
        <f t="shared" si="8"/>
        <v>21.430029000000001</v>
      </c>
      <c r="Q43" s="1438">
        <f t="shared" si="9"/>
        <v>1.6</v>
      </c>
      <c r="R43" s="1438">
        <f t="shared" si="10"/>
        <v>23.383279000000002</v>
      </c>
      <c r="S43" s="1446">
        <f>3.14*(0.5*H43)^2*I43*1000</f>
        <v>7236.2336200000009</v>
      </c>
      <c r="T43" s="547">
        <v>5500</v>
      </c>
      <c r="U43" s="1464">
        <f t="shared" si="0"/>
        <v>24</v>
      </c>
      <c r="V43" s="1464">
        <f t="shared" si="1"/>
        <v>9</v>
      </c>
      <c r="W43" s="1464">
        <f t="shared" si="2"/>
        <v>6</v>
      </c>
      <c r="X43" s="1464">
        <f t="shared" si="3"/>
        <v>2.4000000000000004</v>
      </c>
      <c r="Y43" s="1464">
        <v>2</v>
      </c>
      <c r="Z43" s="1464">
        <v>1</v>
      </c>
      <c r="AA43" s="1464">
        <v>1</v>
      </c>
      <c r="AB43" s="1464">
        <v>1</v>
      </c>
      <c r="AC43" s="1464">
        <v>2</v>
      </c>
      <c r="AD43" s="1463">
        <f>+U43/AD$36</f>
        <v>4.8</v>
      </c>
      <c r="AE43" s="1463">
        <f>+AE$36*U43</f>
        <v>12</v>
      </c>
      <c r="AF43" s="1464">
        <v>2</v>
      </c>
      <c r="AG43" s="1464">
        <v>2</v>
      </c>
      <c r="AH43" s="1464">
        <f t="shared" si="4"/>
        <v>4</v>
      </c>
      <c r="AI43" s="1482">
        <v>800</v>
      </c>
      <c r="AJ43" s="1494">
        <v>750</v>
      </c>
      <c r="AK43" s="547">
        <v>2</v>
      </c>
      <c r="AL43" s="547">
        <f t="shared" si="5"/>
        <v>7</v>
      </c>
      <c r="AM43" s="1486">
        <f>+V43-AL43</f>
        <v>2</v>
      </c>
      <c r="AN43" s="547">
        <f>ROUNDDOWN(V43/3,0)</f>
        <v>3</v>
      </c>
      <c r="AO43" s="547">
        <v>4</v>
      </c>
      <c r="AP43" s="547">
        <v>2</v>
      </c>
      <c r="AQ43" s="547">
        <v>2</v>
      </c>
      <c r="AR43" s="547"/>
    </row>
    <row r="44" spans="4:44">
      <c r="D44" s="1451" t="s">
        <v>2377</v>
      </c>
      <c r="E44" s="1447"/>
      <c r="F44" s="1448"/>
      <c r="G44" s="1460"/>
      <c r="H44" s="1437" t="s">
        <v>2319</v>
      </c>
      <c r="I44" s="1437" t="s">
        <v>2321</v>
      </c>
      <c r="J44" s="1437" t="s">
        <v>2315</v>
      </c>
      <c r="K44" s="1437" t="s">
        <v>2317</v>
      </c>
      <c r="L44" s="1437" t="s">
        <v>2332</v>
      </c>
      <c r="M44" s="1437" t="s">
        <v>2325</v>
      </c>
      <c r="N44" s="1437" t="s">
        <v>2333</v>
      </c>
      <c r="O44" s="1437" t="s">
        <v>2339</v>
      </c>
      <c r="P44" s="1437" t="s">
        <v>2337</v>
      </c>
      <c r="Q44" s="1437" t="s">
        <v>2338</v>
      </c>
      <c r="R44" s="1437" t="s">
        <v>503</v>
      </c>
      <c r="S44" s="1437" t="s">
        <v>531</v>
      </c>
      <c r="T44" s="547"/>
      <c r="U44" s="1464"/>
      <c r="V44" s="1464"/>
      <c r="W44" s="1464"/>
      <c r="X44" s="1464">
        <f t="shared" si="3"/>
        <v>0</v>
      </c>
      <c r="Y44" s="1464"/>
      <c r="Z44" s="1464"/>
      <c r="AA44" s="1464"/>
      <c r="AB44" s="1464"/>
      <c r="AC44" s="1464"/>
      <c r="AD44" s="1463"/>
      <c r="AE44" s="1463"/>
      <c r="AF44" s="1464"/>
      <c r="AG44" s="1464"/>
      <c r="AH44" s="1464"/>
      <c r="AI44" s="1482">
        <f t="shared" ref="AI44:AI49" si="11">+AI$38*AH44</f>
        <v>0</v>
      </c>
      <c r="AJ44" s="1482"/>
      <c r="AK44" s="547"/>
      <c r="AL44" s="547"/>
      <c r="AM44" s="1486"/>
      <c r="AN44" s="547"/>
      <c r="AO44" s="547"/>
      <c r="AP44" s="547"/>
      <c r="AQ44" s="547"/>
      <c r="AR44" s="547"/>
    </row>
    <row r="45" spans="4:44">
      <c r="D45" s="548">
        <v>6</v>
      </c>
      <c r="E45" s="1442" t="s">
        <v>2466</v>
      </c>
      <c r="F45" s="1449"/>
      <c r="G45" s="554"/>
      <c r="H45" s="1438">
        <v>2.6</v>
      </c>
      <c r="I45" s="1438">
        <v>3.4</v>
      </c>
      <c r="J45" s="1438">
        <v>0.5</v>
      </c>
      <c r="K45" s="1438">
        <v>0.1</v>
      </c>
      <c r="L45" s="1438">
        <v>0</v>
      </c>
      <c r="M45" s="1438">
        <v>0</v>
      </c>
      <c r="N45" s="1438">
        <v>0</v>
      </c>
      <c r="O45" s="1438">
        <f t="shared" ref="O45" si="12">(3.14*J45*K45)+(3.14*(0.5*J45)^2)</f>
        <v>0.35325000000000006</v>
      </c>
      <c r="P45" s="1438">
        <f t="shared" ref="P45" si="13">(3.14*H45*I45)+(2*3.14*(0.5*H45)^2)</f>
        <v>38.370800000000003</v>
      </c>
      <c r="Q45" s="1438">
        <f t="shared" ref="Q45" si="14" xml:space="preserve"> 4*((2*L45*M45)+(4*L45*N45))</f>
        <v>0</v>
      </c>
      <c r="R45" s="1438">
        <f t="shared" ref="R45" si="15">+O45+P45+Q45</f>
        <v>38.724050000000005</v>
      </c>
      <c r="S45" s="1446">
        <f>3.14*(0.5*H45)^2*I45*1000</f>
        <v>18042.440000000002</v>
      </c>
      <c r="T45" s="547">
        <v>12000</v>
      </c>
      <c r="U45" s="1464">
        <f t="shared" si="0"/>
        <v>39</v>
      </c>
      <c r="V45" s="1464">
        <f t="shared" si="1"/>
        <v>15</v>
      </c>
      <c r="W45" s="1464">
        <f t="shared" si="2"/>
        <v>10</v>
      </c>
      <c r="X45" s="1464">
        <f t="shared" si="3"/>
        <v>4</v>
      </c>
      <c r="Y45" s="1464">
        <v>2</v>
      </c>
      <c r="Z45" s="1464">
        <v>1</v>
      </c>
      <c r="AA45" s="1464">
        <v>1</v>
      </c>
      <c r="AB45" s="1464">
        <v>1</v>
      </c>
      <c r="AC45" s="1464">
        <v>2</v>
      </c>
      <c r="AD45" s="1463">
        <f>+U45/AD$36</f>
        <v>7.8</v>
      </c>
      <c r="AE45" s="1463">
        <f>+AE$36*U45</f>
        <v>19.5</v>
      </c>
      <c r="AF45" s="1464">
        <v>3</v>
      </c>
      <c r="AG45" s="1464">
        <v>2</v>
      </c>
      <c r="AH45" s="1464">
        <f t="shared" si="4"/>
        <v>5</v>
      </c>
      <c r="AI45" s="1482">
        <v>1000</v>
      </c>
      <c r="AJ45" s="1494">
        <f t="shared" ref="AJ45" si="16">+AI45-100</f>
        <v>900</v>
      </c>
      <c r="AK45" s="547">
        <v>4</v>
      </c>
      <c r="AL45" s="547">
        <f t="shared" si="5"/>
        <v>14</v>
      </c>
      <c r="AM45" s="1486">
        <f>+V45-AL45</f>
        <v>1</v>
      </c>
      <c r="AN45" s="547">
        <v>4</v>
      </c>
      <c r="AO45" s="547">
        <v>9</v>
      </c>
      <c r="AP45" s="1489">
        <v>2</v>
      </c>
      <c r="AQ45" s="1489">
        <v>2</v>
      </c>
      <c r="AR45" s="547"/>
    </row>
    <row r="46" spans="4:44">
      <c r="D46" s="548"/>
      <c r="E46" s="1442" t="s">
        <v>2467</v>
      </c>
      <c r="F46" s="1449"/>
      <c r="G46" s="554"/>
      <c r="H46" s="1438">
        <v>3</v>
      </c>
      <c r="I46" s="1438">
        <v>3.4</v>
      </c>
      <c r="J46" s="1438">
        <v>0.5</v>
      </c>
      <c r="K46" s="1438">
        <v>0.1</v>
      </c>
      <c r="L46" s="1438">
        <v>0</v>
      </c>
      <c r="M46" s="1438">
        <v>0</v>
      </c>
      <c r="N46" s="1438">
        <v>0</v>
      </c>
      <c r="O46" s="1438">
        <f t="shared" ref="O46" si="17">(3.14*J46*K46)+(3.14*(0.5*J46)^2)</f>
        <v>0.35325000000000006</v>
      </c>
      <c r="P46" s="1438">
        <f t="shared" ref="P46" si="18">(3.14*H46*I46)+(2*3.14*(0.5*H46)^2)</f>
        <v>46.158000000000001</v>
      </c>
      <c r="Q46" s="1438">
        <f t="shared" ref="Q46" si="19" xml:space="preserve"> 4*((2*L46*M46)+(4*L46*N46))</f>
        <v>0</v>
      </c>
      <c r="R46" s="1438">
        <f t="shared" ref="R46" si="20">+O46+P46+Q46</f>
        <v>46.511250000000004</v>
      </c>
      <c r="S46" s="1446">
        <f>3.14*(0.5*H46)^2*I46*1000</f>
        <v>24021</v>
      </c>
      <c r="T46" s="547">
        <v>12000</v>
      </c>
      <c r="U46" s="1464">
        <f t="shared" ref="U46" si="21">ROUNDUP(R46,0)</f>
        <v>47</v>
      </c>
      <c r="V46" s="1464">
        <f t="shared" ref="V46" si="22">ROUNDUP(V$36*U46/8,0)</f>
        <v>18</v>
      </c>
      <c r="W46" s="1464">
        <f t="shared" si="2"/>
        <v>12</v>
      </c>
      <c r="X46" s="1464">
        <f t="shared" si="3"/>
        <v>4.8000000000000007</v>
      </c>
      <c r="Y46" s="1464">
        <v>2</v>
      </c>
      <c r="Z46" s="1464">
        <v>1</v>
      </c>
      <c r="AA46" s="1464"/>
      <c r="AB46" s="1464">
        <v>1</v>
      </c>
      <c r="AC46" s="1464">
        <v>2</v>
      </c>
      <c r="AD46" s="1463">
        <f>+U46/AD$36</f>
        <v>9.4</v>
      </c>
      <c r="AE46" s="1463">
        <f>+AE$36*U46</f>
        <v>23.5</v>
      </c>
      <c r="AF46" s="1464">
        <v>3</v>
      </c>
      <c r="AG46" s="1464">
        <v>2</v>
      </c>
      <c r="AH46" s="1464">
        <f t="shared" ref="AH46" si="23">+AF46+AG46</f>
        <v>5</v>
      </c>
      <c r="AI46" s="1482">
        <v>1000</v>
      </c>
      <c r="AJ46" s="1494">
        <f t="shared" ref="AJ46" si="24">+AI46-100</f>
        <v>900</v>
      </c>
      <c r="AK46" s="547">
        <v>4</v>
      </c>
      <c r="AL46" s="547">
        <f t="shared" ref="AL46" si="25">AL$38*AK46</f>
        <v>14</v>
      </c>
      <c r="AM46" s="1486">
        <f>+V46-AL46</f>
        <v>4</v>
      </c>
      <c r="AN46" s="547">
        <v>4</v>
      </c>
      <c r="AO46" s="547">
        <v>9</v>
      </c>
      <c r="AP46" s="1489">
        <v>2</v>
      </c>
      <c r="AQ46" s="1489">
        <v>2</v>
      </c>
      <c r="AR46" s="547"/>
    </row>
    <row r="47" spans="4:44">
      <c r="D47" s="548">
        <v>7</v>
      </c>
      <c r="E47" s="1442" t="s">
        <v>2465</v>
      </c>
      <c r="F47" s="1449"/>
      <c r="G47" s="554"/>
      <c r="H47" s="1438">
        <v>1.5</v>
      </c>
      <c r="I47" s="1438">
        <v>2.4</v>
      </c>
      <c r="J47" s="1438">
        <v>0.5</v>
      </c>
      <c r="K47" s="1438">
        <v>0.1</v>
      </c>
      <c r="L47" s="1438">
        <v>0</v>
      </c>
      <c r="M47" s="1438">
        <v>0</v>
      </c>
      <c r="N47" s="1438">
        <v>0</v>
      </c>
      <c r="O47" s="1438">
        <f t="shared" ref="O47" si="26">(3.14*J47*K47)+(3.14*(0.5*J47)^2)</f>
        <v>0.35325000000000006</v>
      </c>
      <c r="P47" s="1438">
        <f t="shared" ref="P47" si="27">(3.14*H47*I47)+(2*3.14*(0.5*H47)^2)</f>
        <v>14.836500000000001</v>
      </c>
      <c r="Q47" s="1438">
        <f t="shared" ref="Q47" si="28" xml:space="preserve"> 4*((2*L47*M47)+(4*L47*N47))</f>
        <v>0</v>
      </c>
      <c r="R47" s="1438">
        <f t="shared" ref="R47" si="29">+O47+P47+Q47</f>
        <v>15.18975</v>
      </c>
      <c r="S47" s="1446">
        <f>3.14*(0.5*H47)^2*I47*1000</f>
        <v>4239</v>
      </c>
      <c r="T47" s="547">
        <v>12000</v>
      </c>
      <c r="U47" s="1464">
        <f t="shared" ref="U47" si="30">ROUNDUP(R47,0)</f>
        <v>16</v>
      </c>
      <c r="V47" s="1464">
        <f t="shared" ref="V47" si="31">ROUNDUP(V$36*U47/8,0)</f>
        <v>6</v>
      </c>
      <c r="W47" s="1464">
        <f t="shared" si="2"/>
        <v>4</v>
      </c>
      <c r="X47" s="1464">
        <f t="shared" si="3"/>
        <v>1.6</v>
      </c>
      <c r="Y47" s="1464">
        <v>2</v>
      </c>
      <c r="Z47" s="1464">
        <v>1</v>
      </c>
      <c r="AA47" s="1464"/>
      <c r="AB47" s="1464">
        <v>1</v>
      </c>
      <c r="AC47" s="1464">
        <v>2</v>
      </c>
      <c r="AD47" s="1463">
        <f>+U47/AD$36</f>
        <v>3.2</v>
      </c>
      <c r="AE47" s="1463">
        <f>+AE$36*U47</f>
        <v>8</v>
      </c>
      <c r="AF47" s="1464">
        <v>1</v>
      </c>
      <c r="AG47" s="1464">
        <v>1</v>
      </c>
      <c r="AH47" s="1464">
        <f t="shared" ref="AH47" si="32">+AF47+AG47</f>
        <v>2</v>
      </c>
      <c r="AI47" s="1482">
        <v>1000</v>
      </c>
      <c r="AJ47" s="1494">
        <f t="shared" ref="AJ47" si="33">+AI47-100</f>
        <v>900</v>
      </c>
      <c r="AK47" s="547">
        <v>4</v>
      </c>
      <c r="AL47" s="547">
        <f t="shared" ref="AL47" si="34">AL$38*AK47</f>
        <v>14</v>
      </c>
      <c r="AM47" s="1486">
        <f>+V47-AL47</f>
        <v>-8</v>
      </c>
      <c r="AN47" s="547">
        <v>4</v>
      </c>
      <c r="AO47" s="547">
        <v>9</v>
      </c>
      <c r="AP47" s="1489">
        <v>2</v>
      </c>
      <c r="AQ47" s="1489">
        <v>2</v>
      </c>
      <c r="AR47" s="547"/>
    </row>
    <row r="48" spans="4:44">
      <c r="D48" s="548">
        <v>8</v>
      </c>
      <c r="E48" s="1442" t="s">
        <v>2349</v>
      </c>
      <c r="F48" s="1449"/>
      <c r="G48" s="554"/>
      <c r="H48" s="1438">
        <v>2.2000000000000002</v>
      </c>
      <c r="I48" s="1438">
        <v>2.4</v>
      </c>
      <c r="J48" s="1438">
        <v>0.5</v>
      </c>
      <c r="K48" s="1438">
        <v>0.1</v>
      </c>
      <c r="L48" s="1438">
        <v>0</v>
      </c>
      <c r="M48" s="1438">
        <v>0</v>
      </c>
      <c r="N48" s="1438">
        <v>0</v>
      </c>
      <c r="O48" s="1438">
        <f t="shared" ref="O48" si="35">(3.14*J48*K48)+(3.14*(0.5*J48)^2)</f>
        <v>0.35325000000000006</v>
      </c>
      <c r="P48" s="1438">
        <f t="shared" ref="P48" si="36">(3.14*H48*I48)+(2*3.14*(0.5*H48)^2)</f>
        <v>24.178000000000004</v>
      </c>
      <c r="Q48" s="1438">
        <f t="shared" ref="Q48" si="37" xml:space="preserve"> 4*((2*L48*M48)+(4*L48*N48))</f>
        <v>0</v>
      </c>
      <c r="R48" s="1438">
        <f t="shared" ref="R48" si="38">+O48+P48+Q48</f>
        <v>24.531250000000004</v>
      </c>
      <c r="S48" s="1446">
        <f>3.14*(0.5*H48)^2*I48*1000</f>
        <v>9118.5600000000013</v>
      </c>
      <c r="T48" s="547">
        <v>12000</v>
      </c>
      <c r="U48" s="1464">
        <f t="shared" ref="U48" si="39">ROUNDUP(R48,0)</f>
        <v>25</v>
      </c>
      <c r="V48" s="1464">
        <f t="shared" ref="V48" si="40">ROUNDUP(V$36*U48/8,0)</f>
        <v>10</v>
      </c>
      <c r="W48" s="1464">
        <f t="shared" si="2"/>
        <v>6.666666666666667</v>
      </c>
      <c r="X48" s="1464">
        <f t="shared" si="3"/>
        <v>2.666666666666667</v>
      </c>
      <c r="Y48" s="1464">
        <v>2</v>
      </c>
      <c r="Z48" s="1464">
        <v>1</v>
      </c>
      <c r="AA48" s="1464">
        <v>1</v>
      </c>
      <c r="AB48" s="1464">
        <v>1</v>
      </c>
      <c r="AC48" s="1464">
        <v>2</v>
      </c>
      <c r="AD48" s="1463">
        <f>+U48/AD$36</f>
        <v>5</v>
      </c>
      <c r="AE48" s="1463">
        <f>+AE$36*U48</f>
        <v>12.5</v>
      </c>
      <c r="AF48" s="1464">
        <v>3</v>
      </c>
      <c r="AG48" s="1464">
        <v>2</v>
      </c>
      <c r="AH48" s="1464">
        <f t="shared" ref="AH48" si="41">+AF48+AG48</f>
        <v>5</v>
      </c>
      <c r="AI48" s="1482">
        <v>1000</v>
      </c>
      <c r="AJ48" s="1494">
        <f t="shared" ref="AJ48" si="42">+AI48-100</f>
        <v>900</v>
      </c>
      <c r="AK48" s="547">
        <v>4</v>
      </c>
      <c r="AL48" s="547">
        <f t="shared" ref="AL48" si="43">AL$38*AK48</f>
        <v>14</v>
      </c>
      <c r="AM48" s="1486">
        <f>+V48-AL48</f>
        <v>-4</v>
      </c>
      <c r="AN48" s="547">
        <v>4</v>
      </c>
      <c r="AO48" s="547">
        <v>9</v>
      </c>
      <c r="AP48" s="1489">
        <v>2</v>
      </c>
      <c r="AQ48" s="1489">
        <v>2</v>
      </c>
      <c r="AR48" s="547"/>
    </row>
    <row r="49" spans="4:44">
      <c r="D49" s="1451" t="s">
        <v>2350</v>
      </c>
      <c r="E49" s="1447"/>
      <c r="F49" s="1448"/>
      <c r="G49" s="1437" t="s">
        <v>2353</v>
      </c>
      <c r="H49" s="1437" t="s">
        <v>2319</v>
      </c>
      <c r="I49" s="1437" t="s">
        <v>2321</v>
      </c>
      <c r="J49" s="1437" t="s">
        <v>2315</v>
      </c>
      <c r="K49" s="1437" t="s">
        <v>2317</v>
      </c>
      <c r="L49" s="1437" t="s">
        <v>2332</v>
      </c>
      <c r="M49" s="1437" t="s">
        <v>2325</v>
      </c>
      <c r="N49" s="1437" t="s">
        <v>2333</v>
      </c>
      <c r="O49" s="1437" t="s">
        <v>2339</v>
      </c>
      <c r="P49" s="1437" t="s">
        <v>2337</v>
      </c>
      <c r="Q49" s="1437" t="s">
        <v>2338</v>
      </c>
      <c r="R49" s="1437" t="s">
        <v>503</v>
      </c>
      <c r="S49" s="1437" t="s">
        <v>531</v>
      </c>
      <c r="T49" s="547"/>
      <c r="U49" s="1464"/>
      <c r="V49" s="1464"/>
      <c r="W49" s="1464"/>
      <c r="X49" s="1464">
        <f t="shared" si="3"/>
        <v>0</v>
      </c>
      <c r="Y49" s="1464"/>
      <c r="Z49" s="1464"/>
      <c r="AA49" s="1464"/>
      <c r="AB49" s="1464"/>
      <c r="AC49" s="1464"/>
      <c r="AD49" s="1463"/>
      <c r="AE49" s="1463"/>
      <c r="AF49" s="1464"/>
      <c r="AG49" s="1464"/>
      <c r="AH49" s="1464"/>
      <c r="AI49" s="1482">
        <f t="shared" si="11"/>
        <v>0</v>
      </c>
      <c r="AJ49" s="1482"/>
      <c r="AK49" s="547"/>
      <c r="AL49" s="547"/>
      <c r="AM49" s="1486"/>
      <c r="AN49" s="547"/>
      <c r="AO49" s="547"/>
      <c r="AP49" s="547"/>
      <c r="AQ49" s="547"/>
      <c r="AR49" s="547"/>
    </row>
    <row r="50" spans="4:44">
      <c r="D50" s="548">
        <v>9</v>
      </c>
      <c r="E50" s="1442" t="s">
        <v>2347</v>
      </c>
      <c r="F50" s="1443"/>
      <c r="G50" s="1438">
        <v>1.23</v>
      </c>
      <c r="H50" s="1438">
        <v>1.37</v>
      </c>
      <c r="I50" s="1438">
        <v>3.07</v>
      </c>
      <c r="J50" s="1438">
        <v>0.5</v>
      </c>
      <c r="K50" s="1438">
        <v>0.1</v>
      </c>
      <c r="L50" s="1438">
        <v>0.4</v>
      </c>
      <c r="M50" s="1438">
        <v>0.2</v>
      </c>
      <c r="N50" s="1438">
        <v>0.15</v>
      </c>
      <c r="O50" s="1438">
        <f t="shared" si="7"/>
        <v>0.35325000000000006</v>
      </c>
      <c r="P50" s="1438">
        <f>(3.14*((0.5*H50)+(0.5*G50))*I50)+(3.14*0.5*H50*0.5*G50)</f>
        <v>13.854543500000002</v>
      </c>
      <c r="Q50" s="1438">
        <f t="shared" si="9"/>
        <v>1.6</v>
      </c>
      <c r="R50" s="1438">
        <f t="shared" si="10"/>
        <v>15.807793500000001</v>
      </c>
      <c r="S50" s="1446">
        <f>3.14*0.5*H50*0.5*G50*I50*1000</f>
        <v>4061.0067450000001</v>
      </c>
      <c r="T50" s="547">
        <v>5000</v>
      </c>
      <c r="U50" s="1464">
        <f t="shared" si="0"/>
        <v>16</v>
      </c>
      <c r="V50" s="1464">
        <f t="shared" si="1"/>
        <v>6</v>
      </c>
      <c r="W50" s="1464">
        <f t="shared" si="2"/>
        <v>4</v>
      </c>
      <c r="X50" s="1464">
        <f t="shared" si="3"/>
        <v>1.6</v>
      </c>
      <c r="Y50" s="1464">
        <v>2</v>
      </c>
      <c r="Z50" s="1464">
        <v>1</v>
      </c>
      <c r="AA50" s="1464">
        <v>1</v>
      </c>
      <c r="AB50" s="1464">
        <v>1</v>
      </c>
      <c r="AC50" s="1464">
        <v>2</v>
      </c>
      <c r="AD50" s="1463">
        <f>+U50/AD$36</f>
        <v>3.2</v>
      </c>
      <c r="AE50" s="1463">
        <f>+AE$36*U50</f>
        <v>8</v>
      </c>
      <c r="AF50" s="1464">
        <v>2</v>
      </c>
      <c r="AG50" s="1464">
        <v>2</v>
      </c>
      <c r="AH50" s="1464">
        <f t="shared" si="4"/>
        <v>4</v>
      </c>
      <c r="AI50" s="1482">
        <v>750</v>
      </c>
      <c r="AJ50" s="1494">
        <v>750</v>
      </c>
      <c r="AK50" s="547">
        <v>1</v>
      </c>
      <c r="AL50" s="547">
        <f t="shared" si="5"/>
        <v>3.5</v>
      </c>
      <c r="AM50" s="1486">
        <f>+V50-AL50</f>
        <v>2.5</v>
      </c>
      <c r="AN50" s="547">
        <f>ROUNDDOWN(V50/3,0)</f>
        <v>2</v>
      </c>
      <c r="AO50" s="547">
        <v>4</v>
      </c>
      <c r="AP50" s="547">
        <v>2</v>
      </c>
      <c r="AQ50" s="547">
        <v>2</v>
      </c>
      <c r="AR50" s="547"/>
    </row>
    <row r="51" spans="4:44">
      <c r="D51" s="1451" t="s">
        <v>2355</v>
      </c>
      <c r="E51" s="1447"/>
      <c r="F51" s="1448"/>
      <c r="G51" s="1437" t="s">
        <v>2353</v>
      </c>
      <c r="H51" s="1437" t="s">
        <v>2319</v>
      </c>
      <c r="I51" s="1437" t="s">
        <v>2321</v>
      </c>
      <c r="J51" s="1437" t="s">
        <v>2315</v>
      </c>
      <c r="K51" s="1437" t="s">
        <v>2317</v>
      </c>
      <c r="L51" s="1437" t="s">
        <v>2332</v>
      </c>
      <c r="M51" s="1437" t="s">
        <v>2325</v>
      </c>
      <c r="N51" s="1437" t="s">
        <v>2333</v>
      </c>
      <c r="O51" s="1437" t="s">
        <v>2339</v>
      </c>
      <c r="P51" s="1437" t="s">
        <v>2337</v>
      </c>
      <c r="Q51" s="1437" t="s">
        <v>2338</v>
      </c>
      <c r="R51" s="1437" t="s">
        <v>503</v>
      </c>
      <c r="S51" s="1437" t="s">
        <v>531</v>
      </c>
      <c r="T51" s="547"/>
      <c r="U51" s="1464"/>
      <c r="V51" s="1464"/>
      <c r="W51" s="1464"/>
      <c r="X51" s="1464"/>
      <c r="Y51" s="1464"/>
      <c r="Z51" s="1464"/>
      <c r="AA51" s="1464"/>
      <c r="AB51" s="1464"/>
      <c r="AC51" s="1464"/>
      <c r="AD51" s="1464"/>
      <c r="AE51" s="1464"/>
      <c r="AF51" s="1464"/>
      <c r="AG51" s="1464"/>
      <c r="AH51" s="1464"/>
      <c r="AI51" s="1482"/>
      <c r="AJ51" s="1482"/>
      <c r="AK51" s="547"/>
      <c r="AL51" s="547"/>
      <c r="AM51" s="547"/>
      <c r="AN51" s="547"/>
      <c r="AO51" s="547"/>
      <c r="AP51" s="547"/>
      <c r="AQ51" s="547"/>
      <c r="AR51" s="547"/>
    </row>
    <row r="52" spans="4:44" hidden="1">
      <c r="D52" s="548" t="e">
        <f>+#REF!+1</f>
        <v>#REF!</v>
      </c>
      <c r="E52" s="1442" t="s">
        <v>2356</v>
      </c>
      <c r="F52" s="1443"/>
      <c r="G52" s="1438"/>
      <c r="H52" s="1438"/>
      <c r="I52" s="1438"/>
      <c r="J52" s="1438"/>
      <c r="K52" s="1438"/>
      <c r="L52" s="1438"/>
      <c r="M52" s="1438"/>
      <c r="N52" s="1438"/>
      <c r="O52" s="1438">
        <f t="shared" ref="O52:O53" si="44">(3.14*J52*K52)+(3.14*(0.5*J52)^2)</f>
        <v>0</v>
      </c>
      <c r="P52" s="1438">
        <f>(3.14*((0.5*H52)+(0.5*G52))*I52)+(3.14*0.5*H52*0.5*G52)</f>
        <v>0</v>
      </c>
      <c r="Q52" s="1438">
        <f t="shared" ref="Q52:Q53" si="45" xml:space="preserve"> 4*((2*L52*M52)+(4*L52*N52))</f>
        <v>0</v>
      </c>
      <c r="R52" s="1438">
        <f t="shared" ref="R52:R53" si="46">+O52+P52+Q52</f>
        <v>0</v>
      </c>
      <c r="S52" s="1446">
        <f>3.14*0.5*H52*0.5*G52*I52*1000</f>
        <v>0</v>
      </c>
      <c r="T52" s="547">
        <v>14000</v>
      </c>
      <c r="U52" s="1464">
        <f t="shared" si="0"/>
        <v>0</v>
      </c>
      <c r="V52" s="1464">
        <f t="shared" si="1"/>
        <v>0</v>
      </c>
      <c r="W52" s="1464"/>
      <c r="X52" s="1464"/>
      <c r="Y52" s="1464">
        <f>ROUNDUP(Y$36*V52/8,0)</f>
        <v>0</v>
      </c>
      <c r="Z52" s="1464">
        <f t="shared" ref="Z52:AA52" si="47">ROUNDUP(Z$36*Y52/8,0)</f>
        <v>0</v>
      </c>
      <c r="AA52" s="1464">
        <f t="shared" si="47"/>
        <v>0</v>
      </c>
      <c r="AB52" s="1464">
        <f t="shared" ref="AB52:AD53" si="48">ROUNDUP(AB$36*Y52/8,0)</f>
        <v>0</v>
      </c>
      <c r="AC52" s="1464">
        <f t="shared" si="48"/>
        <v>0</v>
      </c>
      <c r="AD52" s="1464">
        <f t="shared" si="48"/>
        <v>0</v>
      </c>
      <c r="AE52" s="1464">
        <f>+AE$36*U52</f>
        <v>0</v>
      </c>
      <c r="AF52" s="1464">
        <f>+AF$36*V52</f>
        <v>0</v>
      </c>
      <c r="AG52" s="1464">
        <f t="shared" ref="AG52:AH53" si="49">+AG$36*AE52</f>
        <v>0</v>
      </c>
      <c r="AH52" s="1464">
        <f t="shared" si="49"/>
        <v>0</v>
      </c>
      <c r="AI52" s="1482"/>
      <c r="AJ52" s="1482"/>
      <c r="AK52" s="547"/>
      <c r="AL52" s="547"/>
      <c r="AM52" s="547"/>
      <c r="AN52" s="547"/>
      <c r="AO52" s="547"/>
      <c r="AP52" s="547"/>
      <c r="AQ52" s="547"/>
      <c r="AR52" s="547"/>
    </row>
    <row r="53" spans="4:44" hidden="1">
      <c r="D53" s="548" t="e">
        <f t="shared" ref="D53" si="50">+D52+1</f>
        <v>#REF!</v>
      </c>
      <c r="E53" s="1442" t="s">
        <v>2357</v>
      </c>
      <c r="F53" s="1443"/>
      <c r="G53" s="1438"/>
      <c r="H53" s="1438"/>
      <c r="I53" s="1438"/>
      <c r="J53" s="1438"/>
      <c r="K53" s="1438"/>
      <c r="L53" s="1438"/>
      <c r="M53" s="1438"/>
      <c r="N53" s="1438"/>
      <c r="O53" s="1438">
        <f t="shared" si="44"/>
        <v>0</v>
      </c>
      <c r="P53" s="1438">
        <f t="shared" ref="P53" si="51">(3.14*((0.5*H53)+(0.5*G53))*I53)+(3.14*0.5*H53*0.5*G53)</f>
        <v>0</v>
      </c>
      <c r="Q53" s="1438">
        <f t="shared" si="45"/>
        <v>0</v>
      </c>
      <c r="R53" s="1438">
        <f t="shared" si="46"/>
        <v>0</v>
      </c>
      <c r="S53" s="1446">
        <f>3.14*0.5*H53*0.5*G53*I53*1000</f>
        <v>0</v>
      </c>
      <c r="T53" s="839" t="s">
        <v>2358</v>
      </c>
      <c r="U53" s="1464">
        <f t="shared" si="0"/>
        <v>0</v>
      </c>
      <c r="V53" s="1464">
        <f t="shared" si="1"/>
        <v>0</v>
      </c>
      <c r="W53" s="1464"/>
      <c r="X53" s="1464"/>
      <c r="Y53" s="1464">
        <f>ROUNDUP(Y$36*V53/8,0)</f>
        <v>0</v>
      </c>
      <c r="Z53" s="1464">
        <f t="shared" ref="Z53:AA53" si="52">ROUNDUP(Z$36*Y53/8,0)</f>
        <v>0</v>
      </c>
      <c r="AA53" s="1464">
        <f t="shared" si="52"/>
        <v>0</v>
      </c>
      <c r="AB53" s="1464">
        <f t="shared" si="48"/>
        <v>0</v>
      </c>
      <c r="AC53" s="1464">
        <f t="shared" si="48"/>
        <v>0</v>
      </c>
      <c r="AD53" s="1464">
        <f t="shared" si="48"/>
        <v>0</v>
      </c>
      <c r="AE53" s="1464">
        <f>+AE$36*U53</f>
        <v>0</v>
      </c>
      <c r="AF53" s="1464">
        <f>+AF$36*V53</f>
        <v>0</v>
      </c>
      <c r="AG53" s="1464">
        <f t="shared" si="49"/>
        <v>0</v>
      </c>
      <c r="AH53" s="1464">
        <f t="shared" si="49"/>
        <v>0</v>
      </c>
      <c r="AI53" s="1482"/>
      <c r="AJ53" s="1482"/>
      <c r="AK53" s="547"/>
      <c r="AL53" s="547"/>
      <c r="AM53" s="547"/>
      <c r="AN53" s="547"/>
      <c r="AO53" s="547"/>
      <c r="AP53" s="547"/>
      <c r="AQ53" s="547"/>
      <c r="AR53" s="547"/>
    </row>
    <row r="54" spans="4:44">
      <c r="U54" s="1437" t="s">
        <v>2058</v>
      </c>
      <c r="V54" s="1465">
        <f t="shared" ref="V54:AE54" si="53">SUM(V39:V50)</f>
        <v>106</v>
      </c>
      <c r="W54" s="1465">
        <f t="shared" si="53"/>
        <v>70.666666666666671</v>
      </c>
      <c r="X54" s="1465">
        <f t="shared" si="53"/>
        <v>28.266666666666673</v>
      </c>
      <c r="Y54" s="1465">
        <f t="shared" si="53"/>
        <v>20</v>
      </c>
      <c r="Z54" s="1465">
        <f t="shared" si="53"/>
        <v>10</v>
      </c>
      <c r="AA54" s="1465">
        <f t="shared" si="53"/>
        <v>7</v>
      </c>
      <c r="AB54" s="1465">
        <f t="shared" si="53"/>
        <v>10</v>
      </c>
      <c r="AC54" s="1465">
        <f t="shared" si="53"/>
        <v>20</v>
      </c>
      <c r="AD54" s="1468">
        <f t="shared" si="53"/>
        <v>55.2</v>
      </c>
      <c r="AE54" s="1468">
        <f t="shared" si="53"/>
        <v>138</v>
      </c>
      <c r="AF54" s="1465"/>
      <c r="AG54" s="1465"/>
      <c r="AH54" s="1465">
        <f t="shared" ref="AH54:AN54" si="54">SUM(AH39:AH50)</f>
        <v>42</v>
      </c>
      <c r="AI54" s="1485">
        <f t="shared" si="54"/>
        <v>8800</v>
      </c>
      <c r="AJ54" s="1485">
        <f t="shared" si="54"/>
        <v>8200</v>
      </c>
      <c r="AK54" s="1465">
        <f t="shared" si="54"/>
        <v>29</v>
      </c>
      <c r="AL54" s="1465">
        <f t="shared" si="54"/>
        <v>101.5</v>
      </c>
      <c r="AM54" s="1465">
        <f t="shared" si="54"/>
        <v>4.5</v>
      </c>
      <c r="AN54" s="1465">
        <f t="shared" si="54"/>
        <v>33</v>
      </c>
      <c r="AO54" s="1487">
        <f>SUM(AO39:AO53)</f>
        <v>67</v>
      </c>
      <c r="AP54" s="1487">
        <f>SUM(AP39:AP53)</f>
        <v>20</v>
      </c>
      <c r="AQ54" s="1487">
        <f>SUM(AQ39:AQ53)</f>
        <v>20</v>
      </c>
      <c r="AR54" s="547"/>
    </row>
    <row r="55" spans="4:44">
      <c r="W55" s="1479">
        <f>+W54-14</f>
        <v>56.666666666666671</v>
      </c>
      <c r="X55" s="1479"/>
    </row>
    <row r="56" spans="4:44">
      <c r="AI56" s="1479">
        <f>7650-AI54</f>
        <v>-1150</v>
      </c>
      <c r="AJ56" s="1479">
        <f>7650-AJ54</f>
        <v>-550</v>
      </c>
      <c r="AK56" s="1368">
        <f>+AK54*210000</f>
        <v>6090000</v>
      </c>
      <c r="AO56">
        <f>+AO54/2</f>
        <v>33.5</v>
      </c>
    </row>
    <row r="57" spans="4:44">
      <c r="AJ57" s="1479">
        <f>+AJ56-800</f>
        <v>-1350</v>
      </c>
      <c r="AK57" s="1368">
        <f>+AM54*65000</f>
        <v>292500</v>
      </c>
    </row>
    <row r="58" spans="4:44">
      <c r="AK58" s="1368">
        <f>+AN54*25000</f>
        <v>825000</v>
      </c>
    </row>
    <row r="59" spans="4:44">
      <c r="AK59" s="1479">
        <f>SUM(AK56:AK58)</f>
        <v>7207500</v>
      </c>
    </row>
    <row r="60" spans="4:44">
      <c r="AK60" s="1479">
        <f>7290000-AK59</f>
        <v>82500</v>
      </c>
    </row>
  </sheetData>
  <mergeCells count="1">
    <mergeCell ref="AF37:AH37"/>
  </mergeCells>
  <printOptions horizontalCentered="1"/>
  <pageMargins left="0.19685039370078741" right="0.31496062992125984" top="0.39370078740157483" bottom="0.51181102362204722" header="0.27559055118110237" footer="0.51181102362204722"/>
  <pageSetup paperSize="256" firstPageNumber="4294963191" orientation="landscape" horizontalDpi="4294967292" verticalDpi="4294967292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3:X690"/>
  <sheetViews>
    <sheetView topLeftCell="A460" zoomScale="70" zoomScaleNormal="70" workbookViewId="0">
      <selection activeCell="B496" sqref="B496:I496"/>
    </sheetView>
  </sheetViews>
  <sheetFormatPr defaultColWidth="9.109375" defaultRowHeight="12"/>
  <cols>
    <col min="1" max="1" width="4.5546875" style="1" customWidth="1"/>
    <col min="2" max="2" width="20" style="1" customWidth="1"/>
    <col min="3" max="3" width="20.88671875" style="1" customWidth="1"/>
    <col min="4" max="4" width="10" style="1414" customWidth="1"/>
    <col min="5" max="5" width="8.5546875" style="1" customWidth="1"/>
    <col min="6" max="6" width="11" style="1" customWidth="1"/>
    <col min="7" max="7" width="15" style="1" customWidth="1"/>
    <col min="8" max="8" width="15.5546875" style="1" customWidth="1"/>
    <col min="9" max="9" width="16.5546875" style="1" customWidth="1"/>
    <col min="10" max="10" width="12.88671875" style="1" customWidth="1"/>
    <col min="11" max="11" width="22.33203125" style="1" customWidth="1"/>
    <col min="12" max="12" width="11.6640625" style="1" bestFit="1" customWidth="1"/>
    <col min="13" max="13" width="12.109375" style="1" bestFit="1" customWidth="1"/>
    <col min="14" max="14" width="27.6640625" style="1" customWidth="1"/>
    <col min="15" max="15" width="3.33203125" style="1" customWidth="1"/>
    <col min="16" max="16" width="15.6640625" style="1" bestFit="1" customWidth="1"/>
    <col min="17" max="16384" width="9.109375" style="1"/>
  </cols>
  <sheetData>
    <row r="3" spans="1:9">
      <c r="A3" s="5"/>
      <c r="B3" s="5"/>
      <c r="C3" s="1387"/>
      <c r="D3" s="1402"/>
      <c r="E3" s="5"/>
      <c r="F3" s="5"/>
      <c r="G3" s="6"/>
      <c r="H3" s="5"/>
      <c r="I3" s="5"/>
    </row>
    <row r="5" spans="1:9" ht="28.8">
      <c r="D5" s="1513" t="s">
        <v>1968</v>
      </c>
      <c r="E5" s="1513"/>
      <c r="F5" s="1513"/>
      <c r="G5" s="1513"/>
      <c r="H5" s="1513"/>
      <c r="I5" s="1513"/>
    </row>
    <row r="6" spans="1:9" ht="28.8">
      <c r="A6" s="597"/>
      <c r="B6" s="597"/>
      <c r="C6" s="597"/>
      <c r="D6" s="1525" t="s">
        <v>2151</v>
      </c>
      <c r="E6" s="1525"/>
      <c r="F6" s="1525"/>
      <c r="G6" s="1525"/>
      <c r="H6" s="1525"/>
      <c r="I6" s="1525"/>
    </row>
    <row r="7" spans="1:9" ht="25.8">
      <c r="A7" s="830"/>
      <c r="B7" s="830"/>
      <c r="C7" s="830"/>
      <c r="D7" s="1526" t="s">
        <v>1470</v>
      </c>
      <c r="E7" s="1526"/>
      <c r="F7" s="1526"/>
      <c r="G7" s="1526"/>
      <c r="H7" s="1526"/>
      <c r="I7" s="1526"/>
    </row>
    <row r="8" spans="1:9" ht="15.6">
      <c r="A8" s="769"/>
      <c r="B8" s="769"/>
      <c r="C8" s="1388"/>
      <c r="D8" s="1403"/>
      <c r="E8" s="769"/>
      <c r="F8" s="769"/>
      <c r="G8" s="769"/>
      <c r="H8" s="769"/>
      <c r="I8" s="769"/>
    </row>
    <row r="9" spans="1:9" ht="15.6">
      <c r="A9" s="769"/>
      <c r="B9" s="769"/>
      <c r="C9" s="1388"/>
      <c r="D9" s="1403"/>
      <c r="E9" s="769"/>
      <c r="F9" s="769"/>
      <c r="G9" s="769"/>
      <c r="H9" s="769"/>
      <c r="I9" s="769"/>
    </row>
    <row r="10" spans="1:9" ht="18">
      <c r="A10" s="1531" t="s">
        <v>3</v>
      </c>
      <c r="B10" s="1531" t="s">
        <v>4</v>
      </c>
      <c r="C10" s="1383"/>
      <c r="D10" s="1531" t="s">
        <v>5</v>
      </c>
      <c r="E10" s="1531" t="s">
        <v>6</v>
      </c>
      <c r="F10" s="1531" t="s">
        <v>7</v>
      </c>
      <c r="G10" s="1001" t="s">
        <v>8</v>
      </c>
      <c r="H10" s="1001" t="s">
        <v>9</v>
      </c>
      <c r="I10" s="1001" t="s">
        <v>10</v>
      </c>
    </row>
    <row r="11" spans="1:9" ht="18">
      <c r="A11" s="1532"/>
      <c r="B11" s="1532"/>
      <c r="C11" s="1384"/>
      <c r="D11" s="1532"/>
      <c r="E11" s="1532"/>
      <c r="F11" s="1532"/>
      <c r="G11" s="1002" t="s">
        <v>11</v>
      </c>
      <c r="H11" s="1002" t="s">
        <v>11</v>
      </c>
      <c r="I11" s="1002" t="s">
        <v>11</v>
      </c>
    </row>
    <row r="12" spans="1:9" ht="18">
      <c r="A12" s="1008" t="s">
        <v>12</v>
      </c>
      <c r="B12" s="1019" t="s">
        <v>13</v>
      </c>
      <c r="C12" s="1019"/>
      <c r="D12" s="1020"/>
      <c r="E12" s="1011"/>
      <c r="F12" s="1011"/>
      <c r="G12" s="1136"/>
      <c r="H12" s="1136"/>
      <c r="I12" s="1137"/>
    </row>
    <row r="13" spans="1:9" ht="18">
      <c r="A13" s="1023">
        <v>1</v>
      </c>
      <c r="B13" s="1021" t="s">
        <v>2210</v>
      </c>
      <c r="C13" s="1021"/>
      <c r="D13" s="1020">
        <v>1</v>
      </c>
      <c r="E13" s="1011" t="s">
        <v>44</v>
      </c>
      <c r="F13" s="1011" t="s">
        <v>2137</v>
      </c>
      <c r="G13" s="1136">
        <f>BreakDown!I882</f>
        <v>1233900</v>
      </c>
      <c r="H13" s="1136">
        <f>G13*D13</f>
        <v>1233900</v>
      </c>
      <c r="I13" s="1137"/>
    </row>
    <row r="14" spans="1:9" ht="18">
      <c r="A14" s="1023">
        <v>2</v>
      </c>
      <c r="B14" s="1021" t="s">
        <v>2134</v>
      </c>
      <c r="C14" s="1021"/>
      <c r="D14" s="1020">
        <v>16</v>
      </c>
      <c r="E14" s="1011" t="s">
        <v>44</v>
      </c>
      <c r="F14" s="1011" t="s">
        <v>82</v>
      </c>
      <c r="G14" s="1533" t="s">
        <v>2192</v>
      </c>
      <c r="H14" s="1534"/>
      <c r="I14" s="1137"/>
    </row>
    <row r="15" spans="1:9" ht="18">
      <c r="A15" s="1023">
        <v>3</v>
      </c>
      <c r="B15" s="1021" t="s">
        <v>2135</v>
      </c>
      <c r="C15" s="1021"/>
      <c r="D15" s="1020">
        <v>0.5</v>
      </c>
      <c r="E15" s="1011" t="s">
        <v>245</v>
      </c>
      <c r="F15" s="1011" t="s">
        <v>82</v>
      </c>
      <c r="G15" s="1533" t="s">
        <v>2192</v>
      </c>
      <c r="H15" s="1534"/>
      <c r="I15" s="1137"/>
    </row>
    <row r="16" spans="1:9" ht="18">
      <c r="A16" s="1023"/>
      <c r="B16" s="1021"/>
      <c r="C16" s="1021"/>
      <c r="D16" s="1020"/>
      <c r="E16" s="1011"/>
      <c r="F16" s="1011"/>
      <c r="G16" s="1136"/>
      <c r="H16" s="1136"/>
      <c r="I16" s="1137"/>
    </row>
    <row r="17" spans="1:9" ht="18">
      <c r="A17" s="1008" t="s">
        <v>18</v>
      </c>
      <c r="B17" s="1019" t="s">
        <v>19</v>
      </c>
      <c r="C17" s="1019"/>
      <c r="D17" s="1020"/>
      <c r="E17" s="1011"/>
      <c r="F17" s="1011"/>
      <c r="G17" s="1136"/>
      <c r="H17" s="1136"/>
      <c r="I17" s="1348"/>
    </row>
    <row r="18" spans="1:9" ht="18">
      <c r="A18" s="1023">
        <v>1</v>
      </c>
      <c r="B18" s="1021" t="s">
        <v>2202</v>
      </c>
      <c r="C18" s="1021"/>
      <c r="D18" s="1010">
        <v>1</v>
      </c>
      <c r="E18" s="1011" t="s">
        <v>2003</v>
      </c>
      <c r="F18" s="1011" t="s">
        <v>82</v>
      </c>
      <c r="G18" s="1022">
        <f>1.5*135000</f>
        <v>202500</v>
      </c>
      <c r="H18" s="1022">
        <f>G18</f>
        <v>202500</v>
      </c>
      <c r="I18" s="1348"/>
    </row>
    <row r="19" spans="1:9" ht="18">
      <c r="A19" s="1023">
        <v>2</v>
      </c>
      <c r="B19" s="1021" t="s">
        <v>2206</v>
      </c>
      <c r="C19" s="1021"/>
      <c r="D19" s="1010">
        <v>1</v>
      </c>
      <c r="E19" s="1011" t="s">
        <v>2003</v>
      </c>
      <c r="F19" s="1011" t="s">
        <v>82</v>
      </c>
      <c r="G19" s="1022">
        <f>1.5*90000</f>
        <v>135000</v>
      </c>
      <c r="H19" s="1022">
        <f>G19</f>
        <v>135000</v>
      </c>
      <c r="I19" s="1348"/>
    </row>
    <row r="20" spans="1:9" ht="18">
      <c r="A20" s="1283"/>
      <c r="B20" s="1250"/>
      <c r="C20" s="1250"/>
      <c r="D20" s="1010"/>
      <c r="E20" s="1235"/>
      <c r="F20" s="1229"/>
      <c r="G20" s="1251"/>
      <c r="H20" s="1251"/>
      <c r="I20" s="1348"/>
    </row>
    <row r="21" spans="1:9" ht="18">
      <c r="A21" s="1023"/>
      <c r="B21" s="1024"/>
      <c r="C21" s="1024"/>
      <c r="D21" s="1012"/>
      <c r="E21" s="1011"/>
      <c r="F21" s="1011"/>
      <c r="G21" s="1022"/>
      <c r="H21" s="1022"/>
      <c r="I21" s="1056"/>
    </row>
    <row r="22" spans="1:9" ht="18">
      <c r="A22" s="1025"/>
      <c r="B22" s="1026"/>
      <c r="C22" s="1026"/>
      <c r="D22" s="1407"/>
      <c r="E22" s="1028"/>
      <c r="F22" s="1029"/>
      <c r="G22" s="1029" t="s">
        <v>25</v>
      </c>
      <c r="H22" s="1030"/>
      <c r="I22" s="1018">
        <f>H13+H18+H19+H20</f>
        <v>1571400</v>
      </c>
    </row>
    <row r="23" spans="1:9" ht="18">
      <c r="A23" s="1031"/>
      <c r="B23" s="1032"/>
      <c r="C23" s="1032"/>
      <c r="D23" s="1033"/>
      <c r="E23" s="1033"/>
      <c r="F23" s="1034"/>
      <c r="G23" s="1035" t="s">
        <v>1151</v>
      </c>
      <c r="H23" s="1036"/>
      <c r="I23" s="1037"/>
    </row>
    <row r="24" spans="1:9" ht="18">
      <c r="A24" s="1038"/>
      <c r="B24" s="1039"/>
      <c r="C24" s="1039"/>
      <c r="D24" s="1040"/>
      <c r="E24" s="1040"/>
      <c r="F24" s="1041"/>
      <c r="G24" s="1042"/>
      <c r="H24" s="1043"/>
      <c r="I24" s="1044">
        <f>H22+H23</f>
        <v>0</v>
      </c>
    </row>
    <row r="25" spans="1:9" ht="18">
      <c r="A25" s="1047"/>
      <c r="B25" s="1048"/>
      <c r="C25" s="1048"/>
      <c r="D25" s="1408"/>
      <c r="E25" s="1048"/>
      <c r="F25" s="1048"/>
      <c r="G25" s="1049"/>
      <c r="H25" s="1050" t="s">
        <v>28</v>
      </c>
      <c r="I25" s="1006">
        <f>I22</f>
        <v>1571400</v>
      </c>
    </row>
    <row r="26" spans="1:9" ht="18">
      <c r="A26" s="1051"/>
      <c r="B26" s="1052"/>
      <c r="C26" s="1052"/>
      <c r="D26" s="1409"/>
      <c r="E26" s="1053"/>
      <c r="F26" s="1053"/>
      <c r="G26" s="1054"/>
      <c r="H26" s="1055" t="s">
        <v>30</v>
      </c>
      <c r="I26" s="1056">
        <v>1571400</v>
      </c>
    </row>
    <row r="27" spans="1:9" ht="18">
      <c r="A27" s="1138"/>
      <c r="B27" s="1138"/>
      <c r="C27" s="1138"/>
      <c r="D27" s="1034"/>
      <c r="E27" s="1138"/>
      <c r="F27" s="1138"/>
      <c r="G27" s="1138"/>
      <c r="H27" s="1138"/>
      <c r="I27" s="1139"/>
    </row>
    <row r="28" spans="1:9" ht="18">
      <c r="A28" s="768" t="s">
        <v>1150</v>
      </c>
      <c r="B28" s="1138"/>
      <c r="C28" s="1138"/>
      <c r="D28" s="1034"/>
      <c r="E28" s="1138"/>
      <c r="F28" s="1138"/>
      <c r="G28" s="1138"/>
      <c r="H28" s="1138"/>
      <c r="I28" s="1139"/>
    </row>
    <row r="29" spans="1:9" ht="18">
      <c r="A29" s="1138"/>
      <c r="B29" s="965" t="s">
        <v>2227</v>
      </c>
      <c r="C29" s="965"/>
      <c r="D29" s="1034"/>
      <c r="E29" s="1138"/>
      <c r="F29" s="1138"/>
      <c r="G29" s="1138"/>
      <c r="H29" s="1138"/>
      <c r="I29" s="1139"/>
    </row>
    <row r="30" spans="1:9" ht="18">
      <c r="A30" s="1138"/>
      <c r="B30" s="1138"/>
      <c r="C30" s="1138"/>
      <c r="D30" s="1034"/>
      <c r="E30" s="1138"/>
      <c r="F30" s="1138"/>
      <c r="G30" s="1138"/>
      <c r="H30" s="1138"/>
      <c r="I30" s="1139"/>
    </row>
    <row r="31" spans="1:9" ht="18">
      <c r="A31" s="958"/>
      <c r="B31" s="958"/>
      <c r="C31" s="958"/>
      <c r="D31" s="1401"/>
      <c r="E31" s="958"/>
      <c r="F31" s="958"/>
      <c r="G31" s="958"/>
      <c r="H31" s="1530" t="s">
        <v>2228</v>
      </c>
      <c r="I31" s="1530"/>
    </row>
    <row r="32" spans="1:9" ht="18">
      <c r="A32" s="1530" t="s">
        <v>31</v>
      </c>
      <c r="B32" s="1530"/>
      <c r="C32" s="1385"/>
      <c r="D32" s="1530" t="s">
        <v>32</v>
      </c>
      <c r="E32" s="1530"/>
      <c r="F32" s="1530"/>
      <c r="G32" s="958"/>
      <c r="H32" s="1530" t="s">
        <v>33</v>
      </c>
      <c r="I32" s="1530"/>
    </row>
    <row r="33" spans="1:9" ht="18">
      <c r="A33" s="958"/>
      <c r="B33" s="958"/>
      <c r="C33" s="958"/>
      <c r="D33" s="1401"/>
      <c r="E33" s="958"/>
      <c r="F33" s="958"/>
      <c r="G33" s="958"/>
      <c r="H33" s="958"/>
      <c r="I33" s="958"/>
    </row>
    <row r="34" spans="1:9" ht="18">
      <c r="A34" s="958"/>
      <c r="B34" s="958"/>
      <c r="C34" s="958"/>
      <c r="D34" s="1401"/>
      <c r="E34" s="958"/>
      <c r="F34" s="958"/>
      <c r="G34" s="958"/>
      <c r="H34" s="958"/>
      <c r="I34" s="958"/>
    </row>
    <row r="35" spans="1:9" ht="18">
      <c r="A35" s="958"/>
      <c r="B35" s="958"/>
      <c r="C35" s="958"/>
      <c r="D35" s="1401"/>
      <c r="E35" s="958"/>
      <c r="F35" s="958"/>
      <c r="G35" s="958"/>
      <c r="H35" s="958"/>
      <c r="I35" s="958"/>
    </row>
    <row r="36" spans="1:9" ht="18">
      <c r="A36" s="1529" t="s">
        <v>1622</v>
      </c>
      <c r="B36" s="1529"/>
      <c r="C36" s="1386"/>
      <c r="D36" s="1529" t="s">
        <v>1603</v>
      </c>
      <c r="E36" s="1529"/>
      <c r="F36" s="1529"/>
      <c r="G36" s="958"/>
      <c r="H36" s="1529" t="s">
        <v>1778</v>
      </c>
      <c r="I36" s="1529"/>
    </row>
    <row r="37" spans="1:9" ht="18">
      <c r="A37" s="1530" t="s">
        <v>37</v>
      </c>
      <c r="B37" s="1530"/>
      <c r="C37" s="1385"/>
      <c r="D37" s="1530" t="s">
        <v>1604</v>
      </c>
      <c r="E37" s="1530"/>
      <c r="F37" s="1530"/>
      <c r="G37" s="958"/>
      <c r="H37" s="1530" t="s">
        <v>39</v>
      </c>
      <c r="I37" s="1530"/>
    </row>
    <row r="41" spans="1:9" ht="28.8">
      <c r="D41" s="1513" t="s">
        <v>1968</v>
      </c>
      <c r="E41" s="1513"/>
      <c r="F41" s="1513"/>
      <c r="G41" s="1513"/>
      <c r="H41" s="1513"/>
      <c r="I41" s="1513"/>
    </row>
    <row r="42" spans="1:9" ht="28.8">
      <c r="A42" s="597"/>
      <c r="B42" s="597"/>
      <c r="C42" s="597"/>
      <c r="D42" s="1525" t="s">
        <v>2193</v>
      </c>
      <c r="E42" s="1525"/>
      <c r="F42" s="1525"/>
      <c r="G42" s="1525"/>
      <c r="H42" s="1525"/>
      <c r="I42" s="1525"/>
    </row>
    <row r="43" spans="1:9" ht="25.8">
      <c r="A43" s="830"/>
      <c r="B43" s="830"/>
      <c r="C43" s="830"/>
      <c r="D43" s="1526" t="s">
        <v>2194</v>
      </c>
      <c r="E43" s="1526"/>
      <c r="F43" s="1526"/>
      <c r="G43" s="1526"/>
      <c r="H43" s="1526"/>
      <c r="I43" s="1526"/>
    </row>
    <row r="44" spans="1:9" ht="15.6">
      <c r="A44" s="769"/>
      <c r="B44" s="769"/>
      <c r="C44" s="1388"/>
      <c r="D44" s="1403"/>
      <c r="E44" s="769"/>
      <c r="F44" s="769"/>
      <c r="G44" s="769"/>
      <c r="H44" s="769"/>
      <c r="I44" s="769"/>
    </row>
    <row r="45" spans="1:9" ht="15.6">
      <c r="A45" s="769"/>
      <c r="B45" s="769"/>
      <c r="C45" s="1388"/>
      <c r="D45" s="1403"/>
      <c r="E45" s="769"/>
      <c r="F45" s="769"/>
      <c r="G45" s="769"/>
      <c r="H45" s="769"/>
      <c r="I45" s="769"/>
    </row>
    <row r="46" spans="1:9" ht="18">
      <c r="A46" s="1531" t="s">
        <v>3</v>
      </c>
      <c r="B46" s="1531" t="s">
        <v>4</v>
      </c>
      <c r="C46" s="1383"/>
      <c r="D46" s="1531" t="s">
        <v>5</v>
      </c>
      <c r="E46" s="1531" t="s">
        <v>6</v>
      </c>
      <c r="F46" s="1531" t="s">
        <v>7</v>
      </c>
      <c r="G46" s="1001" t="s">
        <v>8</v>
      </c>
      <c r="H46" s="1001" t="s">
        <v>9</v>
      </c>
      <c r="I46" s="1001" t="s">
        <v>10</v>
      </c>
    </row>
    <row r="47" spans="1:9" ht="18">
      <c r="A47" s="1532"/>
      <c r="B47" s="1532"/>
      <c r="C47" s="1384"/>
      <c r="D47" s="1532"/>
      <c r="E47" s="1532"/>
      <c r="F47" s="1532"/>
      <c r="G47" s="1002" t="s">
        <v>11</v>
      </c>
      <c r="H47" s="1002" t="s">
        <v>11</v>
      </c>
      <c r="I47" s="1002" t="s">
        <v>11</v>
      </c>
    </row>
    <row r="48" spans="1:9" ht="18">
      <c r="A48" s="1008" t="s">
        <v>12</v>
      </c>
      <c r="B48" s="1019" t="s">
        <v>13</v>
      </c>
      <c r="C48" s="1019"/>
      <c r="D48" s="1020"/>
      <c r="E48" s="1011"/>
      <c r="F48" s="1011"/>
      <c r="G48" s="1136"/>
      <c r="H48" s="1136"/>
      <c r="I48" s="1137"/>
    </row>
    <row r="49" spans="1:9" ht="18">
      <c r="A49" s="1023">
        <v>1</v>
      </c>
      <c r="B49" s="1021" t="s">
        <v>2195</v>
      </c>
      <c r="C49" s="1021"/>
      <c r="D49" s="1020">
        <v>1</v>
      </c>
      <c r="E49" s="1011" t="s">
        <v>44</v>
      </c>
      <c r="F49" s="1011" t="s">
        <v>2137</v>
      </c>
      <c r="G49" s="1533" t="s">
        <v>2138</v>
      </c>
      <c r="H49" s="1534"/>
      <c r="I49" s="1137"/>
    </row>
    <row r="50" spans="1:9" ht="18">
      <c r="A50" s="1023">
        <v>2</v>
      </c>
      <c r="B50" s="1021" t="s">
        <v>2134</v>
      </c>
      <c r="C50" s="1021"/>
      <c r="D50" s="1020">
        <v>16</v>
      </c>
      <c r="E50" s="1011" t="s">
        <v>44</v>
      </c>
      <c r="F50" s="1011" t="s">
        <v>82</v>
      </c>
      <c r="G50" s="1355">
        <v>3400</v>
      </c>
      <c r="H50" s="1356">
        <f>G50*D50</f>
        <v>54400</v>
      </c>
      <c r="I50" s="1137"/>
    </row>
    <row r="51" spans="1:9" ht="18">
      <c r="A51" s="1023">
        <v>3</v>
      </c>
      <c r="B51" s="1021" t="s">
        <v>2135</v>
      </c>
      <c r="C51" s="1021"/>
      <c r="D51" s="1020">
        <v>0.5</v>
      </c>
      <c r="E51" s="1011" t="s">
        <v>245</v>
      </c>
      <c r="F51" s="1011" t="s">
        <v>82</v>
      </c>
      <c r="G51" s="1533" t="s">
        <v>2197</v>
      </c>
      <c r="H51" s="1534"/>
      <c r="I51" s="1137"/>
    </row>
    <row r="52" spans="1:9" ht="18">
      <c r="A52" s="1023"/>
      <c r="B52" s="1021"/>
      <c r="C52" s="1021"/>
      <c r="D52" s="1020"/>
      <c r="E52" s="1011"/>
      <c r="F52" s="1011"/>
      <c r="G52" s="1136"/>
      <c r="H52" s="1136"/>
      <c r="I52" s="1137"/>
    </row>
    <row r="53" spans="1:9" ht="18">
      <c r="A53" s="1008" t="s">
        <v>18</v>
      </c>
      <c r="B53" s="1019" t="s">
        <v>19</v>
      </c>
      <c r="C53" s="1019"/>
      <c r="D53" s="1020"/>
      <c r="E53" s="1011"/>
      <c r="F53" s="1011"/>
      <c r="G53" s="1136"/>
      <c r="H53" s="1136"/>
      <c r="I53" s="1348"/>
    </row>
    <row r="54" spans="1:9" ht="18">
      <c r="A54" s="1023">
        <v>1</v>
      </c>
      <c r="B54" s="1021" t="s">
        <v>2202</v>
      </c>
      <c r="C54" s="1021"/>
      <c r="D54" s="1010">
        <v>1</v>
      </c>
      <c r="E54" s="1011" t="s">
        <v>2003</v>
      </c>
      <c r="F54" s="1011" t="s">
        <v>82</v>
      </c>
      <c r="G54" s="1022">
        <f>1.5*135000</f>
        <v>202500</v>
      </c>
      <c r="H54" s="1022">
        <f>G54</f>
        <v>202500</v>
      </c>
      <c r="I54" s="1348"/>
    </row>
    <row r="55" spans="1:9" ht="18">
      <c r="A55" s="1023">
        <v>2</v>
      </c>
      <c r="B55" s="1021" t="s">
        <v>2203</v>
      </c>
      <c r="C55" s="1021"/>
      <c r="D55" s="1010">
        <v>1</v>
      </c>
      <c r="E55" s="1011" t="s">
        <v>2003</v>
      </c>
      <c r="F55" s="1011" t="s">
        <v>82</v>
      </c>
      <c r="G55" s="1022">
        <f>1.5*90000</f>
        <v>135000</v>
      </c>
      <c r="H55" s="1022">
        <f>G55</f>
        <v>135000</v>
      </c>
      <c r="I55" s="1348"/>
    </row>
    <row r="56" spans="1:9" ht="18">
      <c r="A56" s="1283"/>
      <c r="B56" s="1250"/>
      <c r="C56" s="1250"/>
      <c r="D56" s="1010"/>
      <c r="E56" s="1235"/>
      <c r="F56" s="1229"/>
      <c r="G56" s="1251"/>
      <c r="H56" s="1022"/>
      <c r="I56" s="1348"/>
    </row>
    <row r="57" spans="1:9" ht="18">
      <c r="A57" s="1023"/>
      <c r="B57" s="1024"/>
      <c r="C57" s="1024"/>
      <c r="D57" s="1012"/>
      <c r="E57" s="1011"/>
      <c r="F57" s="1011"/>
      <c r="G57" s="1022"/>
      <c r="H57" s="1022"/>
      <c r="I57" s="1056"/>
    </row>
    <row r="58" spans="1:9" ht="18">
      <c r="A58" s="1025"/>
      <c r="B58" s="1026"/>
      <c r="C58" s="1026"/>
      <c r="D58" s="1407"/>
      <c r="E58" s="1028"/>
      <c r="F58" s="1029"/>
      <c r="G58" s="1029" t="s">
        <v>25</v>
      </c>
      <c r="H58" s="1030"/>
      <c r="I58" s="1018">
        <f>H49+H54+H55+H56+H50</f>
        <v>391900</v>
      </c>
    </row>
    <row r="59" spans="1:9" ht="18">
      <c r="A59" s="1031"/>
      <c r="B59" s="1032"/>
      <c r="C59" s="1032"/>
      <c r="D59" s="1033"/>
      <c r="E59" s="1033"/>
      <c r="F59" s="1034"/>
      <c r="G59" s="1035" t="s">
        <v>1151</v>
      </c>
      <c r="H59" s="1036"/>
      <c r="I59" s="1037"/>
    </row>
    <row r="60" spans="1:9" ht="18">
      <c r="A60" s="1038"/>
      <c r="B60" s="1039"/>
      <c r="C60" s="1039"/>
      <c r="D60" s="1040"/>
      <c r="E60" s="1040"/>
      <c r="F60" s="1041"/>
      <c r="G60" s="1042"/>
      <c r="H60" s="1043"/>
      <c r="I60" s="1044">
        <f>H58+H59</f>
        <v>0</v>
      </c>
    </row>
    <row r="61" spans="1:9" ht="18">
      <c r="A61" s="1047"/>
      <c r="B61" s="1048"/>
      <c r="C61" s="1048"/>
      <c r="D61" s="1408"/>
      <c r="E61" s="1048"/>
      <c r="F61" s="1048"/>
      <c r="G61" s="1049"/>
      <c r="H61" s="1050" t="s">
        <v>28</v>
      </c>
      <c r="I61" s="1006">
        <f>I58</f>
        <v>391900</v>
      </c>
    </row>
    <row r="62" spans="1:9" ht="18">
      <c r="A62" s="1051"/>
      <c r="B62" s="1052"/>
      <c r="C62" s="1052"/>
      <c r="D62" s="1409"/>
      <c r="E62" s="1053"/>
      <c r="F62" s="1053"/>
      <c r="G62" s="1054"/>
      <c r="H62" s="1055" t="s">
        <v>30</v>
      </c>
      <c r="I62" s="1056">
        <v>391900</v>
      </c>
    </row>
    <row r="63" spans="1:9" ht="18">
      <c r="A63" s="1138"/>
      <c r="B63" s="1138"/>
      <c r="C63" s="1138"/>
      <c r="D63" s="1034"/>
      <c r="E63" s="1138"/>
      <c r="F63" s="1138"/>
      <c r="G63" s="1138"/>
      <c r="H63" s="1138"/>
      <c r="I63" s="1139"/>
    </row>
    <row r="64" spans="1:9" ht="18">
      <c r="A64" s="768" t="s">
        <v>1150</v>
      </c>
      <c r="B64" s="1138"/>
      <c r="C64" s="1138"/>
      <c r="D64" s="1034"/>
      <c r="E64" s="1138"/>
      <c r="F64" s="1138"/>
      <c r="G64" s="1138"/>
      <c r="H64" s="1138"/>
      <c r="I64" s="1139"/>
    </row>
    <row r="65" spans="1:9" ht="18">
      <c r="A65" s="1138"/>
      <c r="B65" s="965" t="s">
        <v>2207</v>
      </c>
      <c r="C65" s="965"/>
      <c r="D65" s="1034"/>
      <c r="E65" s="1138"/>
      <c r="F65" s="1138"/>
      <c r="G65" s="1138"/>
      <c r="H65" s="1138"/>
      <c r="I65" s="1139"/>
    </row>
    <row r="66" spans="1:9" ht="18">
      <c r="A66" s="1138"/>
      <c r="B66" s="1138"/>
      <c r="C66" s="1138"/>
      <c r="D66" s="1034"/>
      <c r="E66" s="1138"/>
      <c r="F66" s="1138"/>
      <c r="G66" s="1138"/>
      <c r="H66" s="1138"/>
      <c r="I66" s="1139"/>
    </row>
    <row r="67" spans="1:9" ht="18">
      <c r="A67" s="958"/>
      <c r="B67" s="958"/>
      <c r="C67" s="958"/>
      <c r="D67" s="1401"/>
      <c r="E67" s="958"/>
      <c r="F67" s="958"/>
      <c r="G67" s="958"/>
      <c r="H67" s="1530" t="s">
        <v>2229</v>
      </c>
      <c r="I67" s="1530"/>
    </row>
    <row r="68" spans="1:9" ht="18">
      <c r="A68" s="1530" t="s">
        <v>31</v>
      </c>
      <c r="B68" s="1530"/>
      <c r="C68" s="1385"/>
      <c r="D68" s="1530" t="s">
        <v>32</v>
      </c>
      <c r="E68" s="1530"/>
      <c r="F68" s="1530"/>
      <c r="G68" s="958"/>
      <c r="H68" s="1530" t="s">
        <v>33</v>
      </c>
      <c r="I68" s="1530"/>
    </row>
    <row r="69" spans="1:9" ht="18">
      <c r="A69" s="958"/>
      <c r="B69" s="958"/>
      <c r="C69" s="958"/>
      <c r="D69" s="1401"/>
      <c r="E69" s="958"/>
      <c r="F69" s="958"/>
      <c r="G69" s="958"/>
      <c r="H69" s="958"/>
      <c r="I69" s="958"/>
    </row>
    <row r="70" spans="1:9" ht="18">
      <c r="A70" s="958"/>
      <c r="B70" s="958"/>
      <c r="C70" s="958"/>
      <c r="D70" s="1401"/>
      <c r="E70" s="958"/>
      <c r="F70" s="958"/>
      <c r="G70" s="958"/>
      <c r="H70" s="958"/>
      <c r="I70" s="958"/>
    </row>
    <row r="71" spans="1:9" ht="18">
      <c r="A71" s="958"/>
      <c r="B71" s="958"/>
      <c r="C71" s="958"/>
      <c r="D71" s="1401"/>
      <c r="E71" s="958"/>
      <c r="F71" s="958"/>
      <c r="G71" s="958"/>
      <c r="H71" s="958"/>
      <c r="I71" s="958"/>
    </row>
    <row r="72" spans="1:9" ht="18">
      <c r="A72" s="1529" t="s">
        <v>1622</v>
      </c>
      <c r="B72" s="1529"/>
      <c r="C72" s="1386"/>
      <c r="D72" s="1529" t="s">
        <v>1603</v>
      </c>
      <c r="E72" s="1529"/>
      <c r="F72" s="1529"/>
      <c r="G72" s="958"/>
      <c r="H72" s="1529" t="s">
        <v>1778</v>
      </c>
      <c r="I72" s="1529"/>
    </row>
    <row r="73" spans="1:9" ht="18">
      <c r="A73" s="1530" t="s">
        <v>37</v>
      </c>
      <c r="B73" s="1530"/>
      <c r="C73" s="1385"/>
      <c r="D73" s="1530" t="s">
        <v>1604</v>
      </c>
      <c r="E73" s="1530"/>
      <c r="F73" s="1530"/>
      <c r="G73" s="958"/>
      <c r="H73" s="1530" t="s">
        <v>39</v>
      </c>
      <c r="I73" s="1530"/>
    </row>
    <row r="74" spans="1:9" ht="18">
      <c r="A74" s="959"/>
      <c r="B74" s="959"/>
      <c r="C74" s="1385"/>
      <c r="D74" s="1401"/>
      <c r="E74" s="959"/>
      <c r="F74" s="959"/>
      <c r="G74" s="958"/>
      <c r="H74" s="959"/>
      <c r="I74" s="959"/>
    </row>
    <row r="75" spans="1:9" ht="18">
      <c r="A75" s="959"/>
      <c r="B75" s="959"/>
      <c r="C75" s="1385"/>
      <c r="D75" s="1401"/>
      <c r="E75" s="959"/>
      <c r="F75" s="959"/>
      <c r="G75" s="958"/>
      <c r="H75" s="959"/>
      <c r="I75" s="959"/>
    </row>
    <row r="77" spans="1:9" ht="28.8">
      <c r="D77" s="1513" t="s">
        <v>1968</v>
      </c>
      <c r="E77" s="1513"/>
      <c r="F77" s="1513"/>
      <c r="G77" s="1513"/>
      <c r="H77" s="1513"/>
      <c r="I77" s="1513"/>
    </row>
    <row r="78" spans="1:9" ht="28.8">
      <c r="A78" s="597"/>
      <c r="B78" s="597"/>
      <c r="C78" s="597"/>
      <c r="D78" s="1525" t="s">
        <v>2201</v>
      </c>
      <c r="E78" s="1525"/>
      <c r="F78" s="1525"/>
      <c r="G78" s="1525"/>
      <c r="H78" s="1525"/>
      <c r="I78" s="1525"/>
    </row>
    <row r="79" spans="1:9" ht="25.8">
      <c r="A79" s="830"/>
      <c r="B79" s="830"/>
      <c r="C79" s="830"/>
      <c r="D79" s="1526" t="s">
        <v>1594</v>
      </c>
      <c r="E79" s="1526"/>
      <c r="F79" s="1526"/>
      <c r="G79" s="1526"/>
      <c r="H79" s="1526"/>
      <c r="I79" s="1526"/>
    </row>
    <row r="80" spans="1:9" ht="15.6">
      <c r="A80" s="769"/>
      <c r="B80" s="769"/>
      <c r="C80" s="1388"/>
      <c r="D80" s="1403"/>
      <c r="E80" s="769"/>
      <c r="F80" s="769"/>
      <c r="G80" s="769"/>
      <c r="H80" s="769"/>
      <c r="I80" s="769"/>
    </row>
    <row r="81" spans="1:9" ht="15.6">
      <c r="A81" s="769"/>
      <c r="B81" s="769"/>
      <c r="C81" s="1388"/>
      <c r="D81" s="1403"/>
      <c r="E81" s="769"/>
      <c r="F81" s="769"/>
      <c r="G81" s="769"/>
      <c r="H81" s="769"/>
      <c r="I81" s="769"/>
    </row>
    <row r="82" spans="1:9" ht="18">
      <c r="A82" s="1531" t="s">
        <v>3</v>
      </c>
      <c r="B82" s="1531" t="s">
        <v>4</v>
      </c>
      <c r="C82" s="1383"/>
      <c r="D82" s="1531" t="s">
        <v>5</v>
      </c>
      <c r="E82" s="1531" t="s">
        <v>6</v>
      </c>
      <c r="F82" s="1531" t="s">
        <v>7</v>
      </c>
      <c r="G82" s="1001" t="s">
        <v>8</v>
      </c>
      <c r="H82" s="1001" t="s">
        <v>9</v>
      </c>
      <c r="I82" s="1001" t="s">
        <v>10</v>
      </c>
    </row>
    <row r="83" spans="1:9" ht="18">
      <c r="A83" s="1532"/>
      <c r="B83" s="1532"/>
      <c r="C83" s="1384"/>
      <c r="D83" s="1532"/>
      <c r="E83" s="1532"/>
      <c r="F83" s="1532"/>
      <c r="G83" s="1002" t="s">
        <v>11</v>
      </c>
      <c r="H83" s="1002" t="s">
        <v>11</v>
      </c>
      <c r="I83" s="1002" t="s">
        <v>11</v>
      </c>
    </row>
    <row r="84" spans="1:9" ht="18">
      <c r="A84" s="1008" t="s">
        <v>12</v>
      </c>
      <c r="B84" s="1019" t="s">
        <v>13</v>
      </c>
      <c r="C84" s="1019"/>
      <c r="D84" s="1020"/>
      <c r="E84" s="1011"/>
      <c r="F84" s="1011"/>
      <c r="G84" s="1136"/>
      <c r="H84" s="1136"/>
      <c r="I84" s="1137"/>
    </row>
    <row r="85" spans="1:9" ht="18">
      <c r="A85" s="1023">
        <v>1</v>
      </c>
      <c r="B85" s="1021" t="s">
        <v>2199</v>
      </c>
      <c r="C85" s="1021"/>
      <c r="D85" s="1020">
        <v>1</v>
      </c>
      <c r="E85" s="1011" t="s">
        <v>44</v>
      </c>
      <c r="F85" s="1011" t="s">
        <v>2137</v>
      </c>
      <c r="G85" s="1533" t="s">
        <v>2200</v>
      </c>
      <c r="H85" s="1534"/>
      <c r="I85" s="1137"/>
    </row>
    <row r="86" spans="1:9" ht="18">
      <c r="A86" s="1023">
        <v>2</v>
      </c>
      <c r="B86" s="1021" t="s">
        <v>2134</v>
      </c>
      <c r="C86" s="1021"/>
      <c r="D86" s="1020">
        <v>16</v>
      </c>
      <c r="E86" s="1011" t="s">
        <v>44</v>
      </c>
      <c r="F86" s="1011" t="s">
        <v>82</v>
      </c>
      <c r="G86" s="1355">
        <v>3400</v>
      </c>
      <c r="H86" s="1356">
        <f>G86*D86</f>
        <v>54400</v>
      </c>
      <c r="I86" s="1137"/>
    </row>
    <row r="87" spans="1:9" ht="18">
      <c r="A87" s="1023">
        <v>3</v>
      </c>
      <c r="B87" s="1021" t="s">
        <v>2135</v>
      </c>
      <c r="C87" s="1021"/>
      <c r="D87" s="1020">
        <v>0.5</v>
      </c>
      <c r="E87" s="1011" t="s">
        <v>245</v>
      </c>
      <c r="F87" s="1011" t="s">
        <v>82</v>
      </c>
      <c r="G87" s="1533" t="s">
        <v>2200</v>
      </c>
      <c r="H87" s="1534"/>
      <c r="I87" s="1137"/>
    </row>
    <row r="88" spans="1:9" ht="18">
      <c r="A88" s="1023"/>
      <c r="B88" s="1021"/>
      <c r="C88" s="1021"/>
      <c r="D88" s="1020"/>
      <c r="E88" s="1011"/>
      <c r="F88" s="1011"/>
      <c r="G88" s="1136"/>
      <c r="H88" s="1136"/>
      <c r="I88" s="1137"/>
    </row>
    <row r="89" spans="1:9" ht="18">
      <c r="A89" s="1008" t="s">
        <v>18</v>
      </c>
      <c r="B89" s="1019" t="s">
        <v>19</v>
      </c>
      <c r="C89" s="1019"/>
      <c r="D89" s="1020"/>
      <c r="E89" s="1011"/>
      <c r="F89" s="1011"/>
      <c r="G89" s="1136"/>
      <c r="H89" s="1136"/>
      <c r="I89" s="1348"/>
    </row>
    <row r="90" spans="1:9" ht="18">
      <c r="A90" s="1023">
        <v>1</v>
      </c>
      <c r="B90" s="1021" t="s">
        <v>2202</v>
      </c>
      <c r="C90" s="1021"/>
      <c r="D90" s="1010">
        <v>1</v>
      </c>
      <c r="E90" s="1011" t="s">
        <v>2003</v>
      </c>
      <c r="F90" s="1011" t="s">
        <v>82</v>
      </c>
      <c r="G90" s="1022">
        <f>1.5*135000</f>
        <v>202500</v>
      </c>
      <c r="H90" s="1022">
        <f>G90</f>
        <v>202500</v>
      </c>
      <c r="I90" s="1348"/>
    </row>
    <row r="91" spans="1:9" ht="18">
      <c r="A91" s="1023">
        <v>2</v>
      </c>
      <c r="B91" s="1021" t="s">
        <v>2203</v>
      </c>
      <c r="C91" s="1021"/>
      <c r="D91" s="1010">
        <v>1</v>
      </c>
      <c r="E91" s="1011" t="s">
        <v>2003</v>
      </c>
      <c r="F91" s="1011" t="s">
        <v>82</v>
      </c>
      <c r="G91" s="1022">
        <f>1.5*90000</f>
        <v>135000</v>
      </c>
      <c r="H91" s="1022">
        <f>G91</f>
        <v>135000</v>
      </c>
      <c r="I91" s="1348"/>
    </row>
    <row r="92" spans="1:9" ht="18">
      <c r="A92" s="1283"/>
      <c r="B92" s="1250"/>
      <c r="C92" s="1250"/>
      <c r="D92" s="1010"/>
      <c r="E92" s="1235"/>
      <c r="F92" s="1229"/>
      <c r="G92" s="1251"/>
      <c r="H92" s="1022"/>
      <c r="I92" s="1348"/>
    </row>
    <row r="93" spans="1:9" ht="18">
      <c r="A93" s="1023"/>
      <c r="B93" s="1024"/>
      <c r="C93" s="1024"/>
      <c r="D93" s="1012"/>
      <c r="E93" s="1011"/>
      <c r="F93" s="1011"/>
      <c r="G93" s="1022"/>
      <c r="H93" s="1022"/>
      <c r="I93" s="1056"/>
    </row>
    <row r="94" spans="1:9" ht="18">
      <c r="A94" s="1025"/>
      <c r="B94" s="1026"/>
      <c r="C94" s="1026"/>
      <c r="D94" s="1407"/>
      <c r="E94" s="1028"/>
      <c r="F94" s="1029"/>
      <c r="G94" s="1029" t="s">
        <v>25</v>
      </c>
      <c r="H94" s="1030"/>
      <c r="I94" s="1018">
        <f>(H92+H91+H90+H86)</f>
        <v>391900</v>
      </c>
    </row>
    <row r="95" spans="1:9" ht="18">
      <c r="A95" s="1031"/>
      <c r="B95" s="1032"/>
      <c r="C95" s="1032"/>
      <c r="D95" s="1033"/>
      <c r="E95" s="1033"/>
      <c r="F95" s="1034"/>
      <c r="G95" s="1035" t="s">
        <v>1151</v>
      </c>
      <c r="H95" s="1036"/>
      <c r="I95" s="1037"/>
    </row>
    <row r="96" spans="1:9" ht="18">
      <c r="A96" s="1038"/>
      <c r="B96" s="1039"/>
      <c r="C96" s="1039"/>
      <c r="D96" s="1040"/>
      <c r="E96" s="1040"/>
      <c r="F96" s="1041"/>
      <c r="G96" s="1042"/>
      <c r="H96" s="1043"/>
      <c r="I96" s="1044">
        <f>H94+H95</f>
        <v>0</v>
      </c>
    </row>
    <row r="97" spans="1:9" ht="18">
      <c r="A97" s="1047"/>
      <c r="B97" s="1048"/>
      <c r="C97" s="1048"/>
      <c r="D97" s="1408"/>
      <c r="E97" s="1048"/>
      <c r="F97" s="1048"/>
      <c r="G97" s="1049"/>
      <c r="H97" s="1050" t="s">
        <v>28</v>
      </c>
      <c r="I97" s="1006">
        <f>I94</f>
        <v>391900</v>
      </c>
    </row>
    <row r="98" spans="1:9" ht="18">
      <c r="A98" s="1051"/>
      <c r="B98" s="1052"/>
      <c r="C98" s="1052"/>
      <c r="D98" s="1409"/>
      <c r="E98" s="1053"/>
      <c r="F98" s="1053"/>
      <c r="G98" s="1054"/>
      <c r="H98" s="1055" t="s">
        <v>30</v>
      </c>
      <c r="I98" s="1056">
        <v>391900</v>
      </c>
    </row>
    <row r="99" spans="1:9" ht="18">
      <c r="A99" s="1138"/>
      <c r="B99" s="1138"/>
      <c r="C99" s="1138"/>
      <c r="D99" s="1034"/>
      <c r="E99" s="1138"/>
      <c r="F99" s="1138"/>
      <c r="G99" s="1138"/>
      <c r="H99" s="1138"/>
      <c r="I99" s="1139"/>
    </row>
    <row r="100" spans="1:9" ht="18">
      <c r="A100" s="768" t="s">
        <v>1150</v>
      </c>
      <c r="B100" s="1138"/>
      <c r="C100" s="1138"/>
      <c r="D100" s="1034"/>
      <c r="E100" s="1138"/>
      <c r="F100" s="1138"/>
      <c r="G100" s="1138"/>
      <c r="H100" s="1138"/>
      <c r="I100" s="1139"/>
    </row>
    <row r="101" spans="1:9" ht="18">
      <c r="A101" s="1138"/>
      <c r="B101" s="965" t="s">
        <v>2208</v>
      </c>
      <c r="C101" s="965"/>
      <c r="D101" s="1034"/>
      <c r="E101" s="1138"/>
      <c r="F101" s="1138"/>
      <c r="G101" s="1138"/>
      <c r="H101" s="1138"/>
      <c r="I101" s="1139"/>
    </row>
    <row r="102" spans="1:9" ht="18">
      <c r="A102" s="1138"/>
      <c r="B102" s="1138"/>
      <c r="C102" s="1138"/>
      <c r="D102" s="1034"/>
      <c r="E102" s="1138"/>
      <c r="F102" s="1138"/>
      <c r="G102" s="1138"/>
      <c r="H102" s="1138"/>
      <c r="I102" s="1139"/>
    </row>
    <row r="103" spans="1:9" ht="18">
      <c r="A103" s="958"/>
      <c r="B103" s="958"/>
      <c r="C103" s="958"/>
      <c r="D103" s="1401"/>
      <c r="E103" s="958"/>
      <c r="F103" s="958"/>
      <c r="G103" s="958"/>
      <c r="H103" s="1530" t="s">
        <v>2229</v>
      </c>
      <c r="I103" s="1530"/>
    </row>
    <row r="104" spans="1:9" ht="18">
      <c r="A104" s="1530" t="s">
        <v>31</v>
      </c>
      <c r="B104" s="1530"/>
      <c r="C104" s="1385"/>
      <c r="D104" s="1530" t="s">
        <v>32</v>
      </c>
      <c r="E104" s="1530"/>
      <c r="F104" s="1530"/>
      <c r="G104" s="958"/>
      <c r="H104" s="1530" t="s">
        <v>33</v>
      </c>
      <c r="I104" s="1530"/>
    </row>
    <row r="105" spans="1:9" ht="18">
      <c r="A105" s="958"/>
      <c r="B105" s="958"/>
      <c r="C105" s="958"/>
      <c r="D105" s="1401"/>
      <c r="E105" s="958"/>
      <c r="F105" s="958"/>
      <c r="G105" s="958"/>
      <c r="H105" s="958"/>
      <c r="I105" s="958"/>
    </row>
    <row r="106" spans="1:9" ht="18">
      <c r="A106" s="958"/>
      <c r="B106" s="958"/>
      <c r="C106" s="958"/>
      <c r="D106" s="1401"/>
      <c r="E106" s="958"/>
      <c r="F106" s="958"/>
      <c r="G106" s="958"/>
      <c r="H106" s="958"/>
      <c r="I106" s="958"/>
    </row>
    <row r="107" spans="1:9" ht="18">
      <c r="A107" s="958"/>
      <c r="B107" s="958"/>
      <c r="C107" s="958"/>
      <c r="D107" s="1401"/>
      <c r="E107" s="958"/>
      <c r="F107" s="958"/>
      <c r="G107" s="958"/>
      <c r="H107" s="958"/>
      <c r="I107" s="958"/>
    </row>
    <row r="108" spans="1:9" ht="18">
      <c r="A108" s="1529" t="s">
        <v>1622</v>
      </c>
      <c r="B108" s="1529"/>
      <c r="C108" s="1386"/>
      <c r="D108" s="1529" t="s">
        <v>1603</v>
      </c>
      <c r="E108" s="1529"/>
      <c r="F108" s="1529"/>
      <c r="G108" s="958"/>
      <c r="H108" s="1529" t="s">
        <v>1778</v>
      </c>
      <c r="I108" s="1529"/>
    </row>
    <row r="109" spans="1:9" ht="18">
      <c r="A109" s="1530" t="s">
        <v>37</v>
      </c>
      <c r="B109" s="1530"/>
      <c r="C109" s="1385"/>
      <c r="D109" s="1530" t="s">
        <v>1604</v>
      </c>
      <c r="E109" s="1530"/>
      <c r="F109" s="1530"/>
      <c r="G109" s="958"/>
      <c r="H109" s="1530" t="s">
        <v>39</v>
      </c>
      <c r="I109" s="1530"/>
    </row>
    <row r="110" spans="1:9" ht="18">
      <c r="A110" s="959"/>
      <c r="B110" s="959"/>
      <c r="C110" s="1385"/>
      <c r="D110" s="1401"/>
      <c r="E110" s="959"/>
      <c r="F110" s="959"/>
      <c r="G110" s="958"/>
      <c r="H110" s="959"/>
      <c r="I110" s="959"/>
    </row>
    <row r="111" spans="1:9" ht="18">
      <c r="A111" s="1354"/>
      <c r="B111" s="1354"/>
      <c r="C111" s="1386"/>
      <c r="D111" s="1400"/>
      <c r="E111" s="1354"/>
      <c r="F111" s="1354"/>
      <c r="G111" s="958"/>
      <c r="H111" s="1354"/>
      <c r="I111" s="1354"/>
    </row>
    <row r="112" spans="1:9" ht="18">
      <c r="A112" s="1530"/>
      <c r="B112" s="1530"/>
      <c r="C112" s="1385"/>
      <c r="D112" s="1530"/>
      <c r="E112" s="1530"/>
      <c r="F112" s="1530"/>
      <c r="G112" s="958"/>
      <c r="H112" s="1530"/>
      <c r="I112" s="1530"/>
    </row>
    <row r="113" spans="1:9" ht="28.8">
      <c r="D113" s="1513" t="s">
        <v>1968</v>
      </c>
      <c r="E113" s="1513"/>
      <c r="F113" s="1513"/>
      <c r="G113" s="1513"/>
      <c r="H113" s="1513"/>
      <c r="I113" s="1513"/>
    </row>
    <row r="114" spans="1:9" ht="28.8">
      <c r="A114" s="597"/>
      <c r="B114" s="597"/>
      <c r="C114" s="597"/>
      <c r="D114" s="1525" t="s">
        <v>2196</v>
      </c>
      <c r="E114" s="1525"/>
      <c r="F114" s="1525"/>
      <c r="G114" s="1525"/>
      <c r="H114" s="1525"/>
      <c r="I114" s="1525"/>
    </row>
    <row r="115" spans="1:9" ht="25.8">
      <c r="A115" s="830"/>
      <c r="B115" s="830"/>
      <c r="C115" s="830"/>
      <c r="D115" s="1526" t="s">
        <v>2194</v>
      </c>
      <c r="E115" s="1526"/>
      <c r="F115" s="1526"/>
      <c r="G115" s="1526"/>
      <c r="H115" s="1526"/>
      <c r="I115" s="1526"/>
    </row>
    <row r="116" spans="1:9" ht="15.6">
      <c r="A116" s="769"/>
      <c r="B116" s="769"/>
      <c r="C116" s="1388"/>
      <c r="D116" s="1403"/>
      <c r="E116" s="769"/>
      <c r="F116" s="769"/>
      <c r="G116" s="769"/>
      <c r="H116" s="769"/>
      <c r="I116" s="769"/>
    </row>
    <row r="117" spans="1:9" ht="15.6">
      <c r="A117" s="769"/>
      <c r="B117" s="769"/>
      <c r="C117" s="1388"/>
      <c r="D117" s="1403"/>
      <c r="E117" s="769"/>
      <c r="F117" s="769"/>
      <c r="G117" s="769"/>
      <c r="H117" s="769"/>
      <c r="I117" s="769"/>
    </row>
    <row r="118" spans="1:9" ht="18">
      <c r="A118" s="1531" t="s">
        <v>3</v>
      </c>
      <c r="B118" s="1531" t="s">
        <v>4</v>
      </c>
      <c r="C118" s="1383"/>
      <c r="D118" s="1531" t="s">
        <v>5</v>
      </c>
      <c r="E118" s="1531" t="s">
        <v>6</v>
      </c>
      <c r="F118" s="1531" t="s">
        <v>7</v>
      </c>
      <c r="G118" s="1001" t="s">
        <v>8</v>
      </c>
      <c r="H118" s="1001" t="s">
        <v>9</v>
      </c>
      <c r="I118" s="1001" t="s">
        <v>10</v>
      </c>
    </row>
    <row r="119" spans="1:9" ht="18">
      <c r="A119" s="1532"/>
      <c r="B119" s="1532"/>
      <c r="C119" s="1384"/>
      <c r="D119" s="1532"/>
      <c r="E119" s="1532"/>
      <c r="F119" s="1532"/>
      <c r="G119" s="1002" t="s">
        <v>11</v>
      </c>
      <c r="H119" s="1002" t="s">
        <v>11</v>
      </c>
      <c r="I119" s="1002" t="s">
        <v>11</v>
      </c>
    </row>
    <row r="120" spans="1:9" ht="18">
      <c r="A120" s="1008" t="s">
        <v>12</v>
      </c>
      <c r="B120" s="1019" t="s">
        <v>13</v>
      </c>
      <c r="C120" s="1019"/>
      <c r="D120" s="1020"/>
      <c r="E120" s="1011"/>
      <c r="F120" s="1011"/>
      <c r="G120" s="1136"/>
      <c r="H120" s="1136"/>
      <c r="I120" s="1137"/>
    </row>
    <row r="121" spans="1:9" ht="18">
      <c r="A121" s="1023">
        <v>1</v>
      </c>
      <c r="B121" s="1021" t="s">
        <v>2152</v>
      </c>
      <c r="C121" s="1021"/>
      <c r="D121" s="1020">
        <v>1</v>
      </c>
      <c r="E121" s="1011" t="s">
        <v>44</v>
      </c>
      <c r="F121" s="1011" t="s">
        <v>2137</v>
      </c>
      <c r="G121" s="1136">
        <f>+BreakDown!I904</f>
        <v>1297500</v>
      </c>
      <c r="H121" s="1136">
        <f>G121*D121</f>
        <v>1297500</v>
      </c>
      <c r="I121" s="1137"/>
    </row>
    <row r="122" spans="1:9" ht="18">
      <c r="A122" s="1023">
        <v>2</v>
      </c>
      <c r="B122" s="1021" t="s">
        <v>2134</v>
      </c>
      <c r="C122" s="1021"/>
      <c r="D122" s="1020">
        <v>16</v>
      </c>
      <c r="E122" s="1011" t="s">
        <v>44</v>
      </c>
      <c r="F122" s="1011" t="s">
        <v>82</v>
      </c>
      <c r="G122" s="1355">
        <v>3400</v>
      </c>
      <c r="H122" s="1356">
        <f>G122*D122</f>
        <v>54400</v>
      </c>
      <c r="I122" s="1137"/>
    </row>
    <row r="123" spans="1:9" ht="18">
      <c r="A123" s="1023">
        <v>3</v>
      </c>
      <c r="B123" s="1021" t="s">
        <v>2135</v>
      </c>
      <c r="C123" s="1021"/>
      <c r="D123" s="1020">
        <v>0.5</v>
      </c>
      <c r="E123" s="1011" t="s">
        <v>245</v>
      </c>
      <c r="F123" s="1011" t="s">
        <v>82</v>
      </c>
      <c r="G123" s="1533" t="s">
        <v>2197</v>
      </c>
      <c r="H123" s="1534"/>
      <c r="I123" s="1137"/>
    </row>
    <row r="124" spans="1:9" ht="18">
      <c r="A124" s="1023"/>
      <c r="B124" s="1021"/>
      <c r="C124" s="1021"/>
      <c r="D124" s="1020"/>
      <c r="E124" s="1011"/>
      <c r="F124" s="1011"/>
      <c r="G124" s="1136"/>
      <c r="H124" s="1136"/>
      <c r="I124" s="1137"/>
    </row>
    <row r="125" spans="1:9" ht="18">
      <c r="A125" s="1008" t="s">
        <v>18</v>
      </c>
      <c r="B125" s="1019" t="s">
        <v>19</v>
      </c>
      <c r="C125" s="1019"/>
      <c r="D125" s="1020"/>
      <c r="E125" s="1011"/>
      <c r="F125" s="1011"/>
      <c r="G125" s="1136"/>
      <c r="H125" s="1136"/>
      <c r="I125" s="1348"/>
    </row>
    <row r="126" spans="1:9" ht="18">
      <c r="A126" s="1023">
        <v>1</v>
      </c>
      <c r="B126" s="1021" t="s">
        <v>2116</v>
      </c>
      <c r="C126" s="1021"/>
      <c r="D126" s="1010">
        <v>1</v>
      </c>
      <c r="E126" s="1011" t="s">
        <v>2003</v>
      </c>
      <c r="F126" s="1011" t="s">
        <v>82</v>
      </c>
      <c r="G126" s="1022">
        <v>135000</v>
      </c>
      <c r="H126" s="1022">
        <f>G126*D126</f>
        <v>135000</v>
      </c>
      <c r="I126" s="1348"/>
    </row>
    <row r="127" spans="1:9" ht="18">
      <c r="A127" s="1023">
        <v>2</v>
      </c>
      <c r="B127" s="1021" t="s">
        <v>2117</v>
      </c>
      <c r="C127" s="1021"/>
      <c r="D127" s="1010">
        <v>2</v>
      </c>
      <c r="E127" s="1011" t="s">
        <v>2003</v>
      </c>
      <c r="F127" s="1011" t="s">
        <v>82</v>
      </c>
      <c r="G127" s="1022">
        <v>90000</v>
      </c>
      <c r="H127" s="1022">
        <f>G127*D127</f>
        <v>180000</v>
      </c>
      <c r="I127" s="1348"/>
    </row>
    <row r="128" spans="1:9" ht="18">
      <c r="A128" s="1283">
        <v>3</v>
      </c>
      <c r="B128" s="1250" t="s">
        <v>2092</v>
      </c>
      <c r="C128" s="1250"/>
      <c r="D128" s="1010">
        <v>1</v>
      </c>
      <c r="E128" s="1235" t="s">
        <v>138</v>
      </c>
      <c r="F128" s="1229" t="s">
        <v>16</v>
      </c>
      <c r="G128" s="1251">
        <v>55000</v>
      </c>
      <c r="H128" s="1251">
        <f>G128*D128</f>
        <v>55000</v>
      </c>
      <c r="I128" s="1348"/>
    </row>
    <row r="129" spans="1:9" ht="18">
      <c r="A129" s="1023"/>
      <c r="B129" s="1024"/>
      <c r="C129" s="1024"/>
      <c r="D129" s="1012"/>
      <c r="E129" s="1011"/>
      <c r="F129" s="1011"/>
      <c r="G129" s="1022"/>
      <c r="H129" s="1022"/>
      <c r="I129" s="1056"/>
    </row>
    <row r="130" spans="1:9" ht="18">
      <c r="A130" s="1025"/>
      <c r="B130" s="1026"/>
      <c r="C130" s="1026"/>
      <c r="D130" s="1407"/>
      <c r="E130" s="1028"/>
      <c r="F130" s="1029"/>
      <c r="G130" s="1029" t="s">
        <v>25</v>
      </c>
      <c r="H130" s="1030"/>
      <c r="I130" s="1018">
        <f>(H121+H122)+(H128+H127+H126)</f>
        <v>1721900</v>
      </c>
    </row>
    <row r="131" spans="1:9" ht="18">
      <c r="A131" s="1031"/>
      <c r="B131" s="1032"/>
      <c r="C131" s="1032"/>
      <c r="D131" s="1033"/>
      <c r="E131" s="1033"/>
      <c r="F131" s="1034"/>
      <c r="G131" s="1035" t="s">
        <v>1151</v>
      </c>
      <c r="H131" s="1036"/>
      <c r="I131" s="1037"/>
    </row>
    <row r="132" spans="1:9" ht="18">
      <c r="A132" s="1038"/>
      <c r="B132" s="1039"/>
      <c r="C132" s="1039"/>
      <c r="D132" s="1040"/>
      <c r="E132" s="1040"/>
      <c r="F132" s="1041"/>
      <c r="G132" s="1042"/>
      <c r="H132" s="1043"/>
      <c r="I132" s="1044">
        <f>H130+H131</f>
        <v>0</v>
      </c>
    </row>
    <row r="133" spans="1:9" ht="18">
      <c r="A133" s="1047"/>
      <c r="B133" s="1048"/>
      <c r="C133" s="1048"/>
      <c r="D133" s="1408"/>
      <c r="E133" s="1048"/>
      <c r="F133" s="1048"/>
      <c r="G133" s="1049"/>
      <c r="H133" s="1050" t="s">
        <v>28</v>
      </c>
      <c r="I133" s="1006">
        <f>I130</f>
        <v>1721900</v>
      </c>
    </row>
    <row r="134" spans="1:9" ht="18">
      <c r="A134" s="1051"/>
      <c r="B134" s="1052"/>
      <c r="C134" s="1052"/>
      <c r="D134" s="1409"/>
      <c r="E134" s="1053"/>
      <c r="F134" s="1053"/>
      <c r="G134" s="1054"/>
      <c r="H134" s="1055" t="s">
        <v>30</v>
      </c>
      <c r="I134" s="1056">
        <v>1487900</v>
      </c>
    </row>
    <row r="135" spans="1:9" ht="18">
      <c r="A135" s="1138"/>
      <c r="B135" s="1138"/>
      <c r="C135" s="1138"/>
      <c r="D135" s="1034"/>
      <c r="E135" s="1138"/>
      <c r="F135" s="1138"/>
      <c r="G135" s="1138"/>
      <c r="H135" s="1138"/>
      <c r="I135" s="1139"/>
    </row>
    <row r="136" spans="1:9" ht="18">
      <c r="A136" s="768" t="s">
        <v>1150</v>
      </c>
      <c r="B136" s="1138"/>
      <c r="C136" s="1138"/>
      <c r="D136" s="1034"/>
      <c r="E136" s="1138"/>
      <c r="F136" s="1138"/>
      <c r="G136" s="1138"/>
      <c r="H136" s="1138"/>
      <c r="I136" s="1139"/>
    </row>
    <row r="137" spans="1:9" ht="18">
      <c r="A137" s="1138"/>
      <c r="B137" s="965" t="s">
        <v>2198</v>
      </c>
      <c r="C137" s="965"/>
      <c r="D137" s="1034"/>
      <c r="E137" s="1138"/>
      <c r="F137" s="1138"/>
      <c r="G137" s="1138"/>
      <c r="H137" s="1138"/>
      <c r="I137" s="1139"/>
    </row>
    <row r="138" spans="1:9" ht="18">
      <c r="A138" s="1138"/>
      <c r="B138" s="1138"/>
      <c r="C138" s="1138"/>
      <c r="D138" s="1034"/>
      <c r="E138" s="1138"/>
      <c r="F138" s="1138"/>
      <c r="G138" s="1138"/>
      <c r="H138" s="1138"/>
      <c r="I138" s="1139"/>
    </row>
    <row r="139" spans="1:9" ht="18">
      <c r="A139" s="958"/>
      <c r="B139" s="958"/>
      <c r="C139" s="958"/>
      <c r="D139" s="1401"/>
      <c r="E139" s="958"/>
      <c r="F139" s="958"/>
      <c r="G139" s="958"/>
      <c r="H139" s="1530" t="s">
        <v>2185</v>
      </c>
      <c r="I139" s="1530"/>
    </row>
    <row r="140" spans="1:9" ht="18">
      <c r="A140" s="1530" t="s">
        <v>31</v>
      </c>
      <c r="B140" s="1530"/>
      <c r="C140" s="1385"/>
      <c r="D140" s="1530" t="s">
        <v>32</v>
      </c>
      <c r="E140" s="1530"/>
      <c r="F140" s="1530"/>
      <c r="G140" s="958"/>
      <c r="H140" s="1530" t="s">
        <v>33</v>
      </c>
      <c r="I140" s="1530"/>
    </row>
    <row r="141" spans="1:9" ht="18">
      <c r="A141" s="958"/>
      <c r="B141" s="958"/>
      <c r="C141" s="958"/>
      <c r="D141" s="1401"/>
      <c r="E141" s="958"/>
      <c r="F141" s="958"/>
      <c r="G141" s="958"/>
      <c r="H141" s="958"/>
      <c r="I141" s="958"/>
    </row>
    <row r="142" spans="1:9" ht="18">
      <c r="A142" s="958"/>
      <c r="B142" s="958"/>
      <c r="C142" s="958"/>
      <c r="D142" s="1401"/>
      <c r="E142" s="958"/>
      <c r="F142" s="958"/>
      <c r="G142" s="958"/>
      <c r="H142" s="958"/>
      <c r="I142" s="958"/>
    </row>
    <row r="143" spans="1:9" ht="18">
      <c r="A143" s="958"/>
      <c r="B143" s="958"/>
      <c r="C143" s="958"/>
      <c r="D143" s="1401"/>
      <c r="E143" s="958"/>
      <c r="F143" s="958"/>
      <c r="G143" s="958"/>
      <c r="H143" s="958"/>
      <c r="I143" s="958"/>
    </row>
    <row r="144" spans="1:9" ht="18">
      <c r="A144" s="1529" t="s">
        <v>1622</v>
      </c>
      <c r="B144" s="1529"/>
      <c r="C144" s="1386"/>
      <c r="D144" s="1529" t="s">
        <v>1603</v>
      </c>
      <c r="E144" s="1529"/>
      <c r="F144" s="1529"/>
      <c r="G144" s="958"/>
      <c r="H144" s="1529" t="s">
        <v>1778</v>
      </c>
      <c r="I144" s="1529"/>
    </row>
    <row r="145" spans="1:14" ht="18">
      <c r="A145" s="1530" t="s">
        <v>37</v>
      </c>
      <c r="B145" s="1530"/>
      <c r="C145" s="1385"/>
      <c r="D145" s="1530" t="s">
        <v>1604</v>
      </c>
      <c r="E145" s="1530"/>
      <c r="F145" s="1530"/>
      <c r="G145" s="958"/>
      <c r="H145" s="1530" t="s">
        <v>39</v>
      </c>
      <c r="I145" s="1530"/>
      <c r="N145" s="1" t="s">
        <v>2277</v>
      </c>
    </row>
    <row r="151" spans="1:14" ht="33.6">
      <c r="A151" s="597"/>
      <c r="B151" s="1524" t="s">
        <v>235</v>
      </c>
      <c r="C151" s="1524"/>
      <c r="D151" s="1524"/>
      <c r="E151" s="1524"/>
      <c r="F151" s="1524"/>
      <c r="G151" s="1524"/>
      <c r="H151" s="1524"/>
      <c r="I151" s="1524"/>
    </row>
    <row r="152" spans="1:14" ht="24.75" customHeight="1">
      <c r="A152" s="597"/>
      <c r="B152" s="1525" t="s">
        <v>1984</v>
      </c>
      <c r="C152" s="1525"/>
      <c r="D152" s="1525"/>
      <c r="E152" s="1525"/>
      <c r="F152" s="1525"/>
      <c r="G152" s="1525"/>
      <c r="H152" s="1525"/>
      <c r="I152" s="1525"/>
    </row>
    <row r="153" spans="1:14" ht="25.8">
      <c r="A153" s="830"/>
      <c r="B153" s="1526" t="s">
        <v>2255</v>
      </c>
      <c r="C153" s="1526"/>
      <c r="D153" s="1526"/>
      <c r="E153" s="1526"/>
      <c r="F153" s="1526"/>
      <c r="G153" s="1526"/>
      <c r="H153" s="1526"/>
      <c r="I153" s="1526"/>
    </row>
    <row r="154" spans="1:14" ht="15.6">
      <c r="A154" s="769"/>
      <c r="B154" s="769"/>
      <c r="C154" s="1388"/>
      <c r="D154" s="1403"/>
      <c r="E154" s="769"/>
      <c r="F154" s="769"/>
      <c r="G154" s="769"/>
      <c r="H154" s="769"/>
      <c r="I154" s="769"/>
    </row>
    <row r="155" spans="1:14" ht="15.6">
      <c r="A155" s="1516" t="s">
        <v>3</v>
      </c>
      <c r="B155" s="1518" t="s">
        <v>4</v>
      </c>
      <c r="C155" s="1470"/>
      <c r="D155" s="1516" t="s">
        <v>5</v>
      </c>
      <c r="E155" s="1516" t="s">
        <v>6</v>
      </c>
      <c r="F155" s="1516" t="s">
        <v>7</v>
      </c>
      <c r="G155" s="770" t="s">
        <v>8</v>
      </c>
      <c r="H155" s="770" t="s">
        <v>9</v>
      </c>
      <c r="I155" s="770" t="s">
        <v>10</v>
      </c>
    </row>
    <row r="156" spans="1:14" ht="15.6">
      <c r="A156" s="1517"/>
      <c r="B156" s="1520"/>
      <c r="C156" s="1471"/>
      <c r="D156" s="1517"/>
      <c r="E156" s="1517"/>
      <c r="F156" s="1517"/>
      <c r="G156" s="771" t="s">
        <v>11</v>
      </c>
      <c r="H156" s="771" t="s">
        <v>11</v>
      </c>
      <c r="I156" s="771" t="s">
        <v>11</v>
      </c>
    </row>
    <row r="157" spans="1:14" ht="15.6">
      <c r="A157" s="770" t="s">
        <v>12</v>
      </c>
      <c r="B157" s="1393" t="s">
        <v>364</v>
      </c>
      <c r="C157" s="1390"/>
      <c r="D157" s="1369"/>
      <c r="E157" s="774"/>
      <c r="F157" s="774"/>
      <c r="G157" s="774"/>
      <c r="H157" s="775"/>
      <c r="I157" s="776"/>
    </row>
    <row r="158" spans="1:14" ht="15.6">
      <c r="A158" s="780">
        <v>1</v>
      </c>
      <c r="B158" s="820" t="s">
        <v>2259</v>
      </c>
      <c r="C158" s="1391"/>
      <c r="D158" s="779">
        <f>6.5 *2</f>
        <v>13</v>
      </c>
      <c r="E158" s="780" t="s">
        <v>2249</v>
      </c>
      <c r="F158" s="780" t="s">
        <v>16</v>
      </c>
      <c r="G158" s="791">
        <v>17500</v>
      </c>
      <c r="H158" s="791">
        <f>+G158*D158</f>
        <v>227500</v>
      </c>
      <c r="I158" s="971"/>
      <c r="M158" s="1">
        <f>280000/6</f>
        <v>46666.666666666664</v>
      </c>
    </row>
    <row r="159" spans="1:14" ht="15.6">
      <c r="A159" s="780">
        <f>+A158+1</f>
        <v>2</v>
      </c>
      <c r="B159" s="820" t="s">
        <v>2251</v>
      </c>
      <c r="C159" s="1391"/>
      <c r="D159" s="779">
        <f>1.5*2</f>
        <v>3</v>
      </c>
      <c r="E159" s="780" t="s">
        <v>2249</v>
      </c>
      <c r="F159" s="780" t="s">
        <v>16</v>
      </c>
      <c r="G159" s="791">
        <v>17500</v>
      </c>
      <c r="H159" s="791">
        <f>+G159*D159</f>
        <v>52500</v>
      </c>
      <c r="I159" s="971"/>
    </row>
    <row r="160" spans="1:14" ht="15.6">
      <c r="A160" s="780">
        <f t="shared" ref="A160:A167" si="0">+A159+1</f>
        <v>3</v>
      </c>
      <c r="B160" s="820" t="s">
        <v>2250</v>
      </c>
      <c r="C160" s="1391"/>
      <c r="D160" s="779">
        <v>1</v>
      </c>
      <c r="E160" s="780" t="s">
        <v>2261</v>
      </c>
      <c r="F160" s="780" t="s">
        <v>16</v>
      </c>
      <c r="G160" s="791">
        <v>36000</v>
      </c>
      <c r="H160" s="791">
        <f t="shared" ref="H160:H168" si="1">+G160*D160</f>
        <v>36000</v>
      </c>
      <c r="I160" s="971"/>
      <c r="K160" s="1">
        <f>24*3*2</f>
        <v>144</v>
      </c>
    </row>
    <row r="161" spans="1:11" ht="15.6">
      <c r="A161" s="780">
        <f t="shared" si="0"/>
        <v>4</v>
      </c>
      <c r="B161" s="820" t="s">
        <v>2262</v>
      </c>
      <c r="C161" s="1391"/>
      <c r="D161" s="779">
        <v>6</v>
      </c>
      <c r="E161" s="780" t="s">
        <v>245</v>
      </c>
      <c r="F161" s="780" t="s">
        <v>16</v>
      </c>
      <c r="G161" s="791">
        <v>160000</v>
      </c>
      <c r="H161" s="791">
        <f>G161*D161</f>
        <v>960000</v>
      </c>
      <c r="I161" s="971"/>
    </row>
    <row r="162" spans="1:11" ht="15.6">
      <c r="A162" s="780">
        <f t="shared" si="0"/>
        <v>5</v>
      </c>
      <c r="B162" s="820" t="s">
        <v>2263</v>
      </c>
      <c r="C162" s="1391"/>
      <c r="D162" s="779">
        <f>0.5*2</f>
        <v>1</v>
      </c>
      <c r="E162" s="780" t="s">
        <v>245</v>
      </c>
      <c r="F162" s="780" t="s">
        <v>16</v>
      </c>
      <c r="G162" s="791">
        <v>53600</v>
      </c>
      <c r="H162" s="791">
        <f>G162*D162</f>
        <v>53600</v>
      </c>
      <c r="I162" s="971"/>
    </row>
    <row r="163" spans="1:11" ht="21">
      <c r="A163" s="780">
        <f t="shared" si="0"/>
        <v>6</v>
      </c>
      <c r="B163" s="820" t="s">
        <v>2264</v>
      </c>
      <c r="C163" s="1391"/>
      <c r="D163" s="779">
        <f>2*2</f>
        <v>4</v>
      </c>
      <c r="E163" s="780" t="s">
        <v>44</v>
      </c>
      <c r="F163" s="780" t="s">
        <v>16</v>
      </c>
      <c r="G163" s="791">
        <v>43000</v>
      </c>
      <c r="H163" s="791">
        <f t="shared" si="1"/>
        <v>172000</v>
      </c>
      <c r="I163" s="971"/>
      <c r="K163" s="1141">
        <f>24*10*0.5</f>
        <v>120</v>
      </c>
    </row>
    <row r="164" spans="1:11" ht="15.6">
      <c r="A164" s="780">
        <f t="shared" si="0"/>
        <v>7</v>
      </c>
      <c r="B164" s="820" t="s">
        <v>2265</v>
      </c>
      <c r="C164" s="1391"/>
      <c r="D164" s="779">
        <v>12</v>
      </c>
      <c r="E164" s="780" t="s">
        <v>179</v>
      </c>
      <c r="F164" s="780" t="s">
        <v>16</v>
      </c>
      <c r="G164" s="791">
        <v>46000</v>
      </c>
      <c r="H164" s="791">
        <f t="shared" ref="H164:H166" si="2">+G164*D164</f>
        <v>552000</v>
      </c>
      <c r="I164" s="971"/>
      <c r="K164" s="1">
        <f>24*3*2</f>
        <v>144</v>
      </c>
    </row>
    <row r="165" spans="1:11" ht="15.6">
      <c r="A165" s="780">
        <f t="shared" si="0"/>
        <v>8</v>
      </c>
      <c r="B165" s="820" t="s">
        <v>2252</v>
      </c>
      <c r="C165" s="1391"/>
      <c r="D165" s="779">
        <f>2*2</f>
        <v>4</v>
      </c>
      <c r="E165" s="780" t="s">
        <v>132</v>
      </c>
      <c r="F165" s="780" t="s">
        <v>16</v>
      </c>
      <c r="G165" s="791">
        <v>15000</v>
      </c>
      <c r="H165" s="791">
        <f t="shared" si="2"/>
        <v>60000</v>
      </c>
      <c r="I165" s="971"/>
      <c r="K165" s="1">
        <f>24*3*2</f>
        <v>144</v>
      </c>
    </row>
    <row r="166" spans="1:11" ht="15.6">
      <c r="A166" s="780">
        <f t="shared" si="0"/>
        <v>9</v>
      </c>
      <c r="B166" s="820" t="s">
        <v>2253</v>
      </c>
      <c r="C166" s="1391"/>
      <c r="D166" s="779">
        <f>2*2</f>
        <v>4</v>
      </c>
      <c r="E166" s="780" t="s">
        <v>132</v>
      </c>
      <c r="F166" s="780" t="s">
        <v>16</v>
      </c>
      <c r="G166" s="791">
        <v>8000</v>
      </c>
      <c r="H166" s="791">
        <f t="shared" si="2"/>
        <v>32000</v>
      </c>
      <c r="I166" s="971"/>
      <c r="K166" s="1">
        <f>24*3*2</f>
        <v>144</v>
      </c>
    </row>
    <row r="167" spans="1:11" ht="15.6">
      <c r="A167" s="780">
        <f t="shared" si="0"/>
        <v>10</v>
      </c>
      <c r="B167" s="820" t="s">
        <v>2258</v>
      </c>
      <c r="C167" s="1391"/>
      <c r="D167" s="1389">
        <v>1</v>
      </c>
      <c r="E167" s="780"/>
      <c r="F167" s="780" t="s">
        <v>51</v>
      </c>
      <c r="G167" s="791">
        <v>100000</v>
      </c>
      <c r="H167" s="791">
        <f t="shared" si="1"/>
        <v>100000</v>
      </c>
      <c r="I167" s="971"/>
      <c r="K167" s="1">
        <f>24*3*2</f>
        <v>144</v>
      </c>
    </row>
    <row r="168" spans="1:11" ht="15.6">
      <c r="A168" s="777">
        <v>11</v>
      </c>
      <c r="B168" s="820" t="s">
        <v>2260</v>
      </c>
      <c r="C168" s="1391"/>
      <c r="D168" s="779">
        <v>1</v>
      </c>
      <c r="E168" s="780" t="s">
        <v>2261</v>
      </c>
      <c r="F168" s="780" t="s">
        <v>16</v>
      </c>
      <c r="G168" s="781">
        <v>56000</v>
      </c>
      <c r="H168" s="781">
        <f t="shared" si="1"/>
        <v>56000</v>
      </c>
      <c r="I168" s="1133"/>
      <c r="K168" s="1">
        <f>10*3*2</f>
        <v>60</v>
      </c>
    </row>
    <row r="169" spans="1:11" ht="15.6">
      <c r="A169" s="814"/>
      <c r="B169" s="820"/>
      <c r="C169" s="1391"/>
      <c r="D169" s="782"/>
      <c r="E169" s="780"/>
      <c r="F169" s="780"/>
      <c r="G169" s="781"/>
      <c r="H169" s="817"/>
      <c r="I169" s="818">
        <f>SUM(H158:H169)</f>
        <v>2301600</v>
      </c>
    </row>
    <row r="170" spans="1:11" ht="15.6">
      <c r="A170" s="786" t="s">
        <v>18</v>
      </c>
      <c r="B170" s="1393" t="s">
        <v>19</v>
      </c>
      <c r="C170" s="1390"/>
      <c r="D170" s="1369"/>
      <c r="E170" s="1370"/>
      <c r="F170" s="1370"/>
      <c r="G170" s="1371"/>
      <c r="H170" s="781"/>
      <c r="I170" s="1133"/>
      <c r="K170" s="1">
        <f>21*3*2</f>
        <v>126</v>
      </c>
    </row>
    <row r="171" spans="1:11" ht="15.6">
      <c r="A171" s="790">
        <v>1</v>
      </c>
      <c r="B171" s="820" t="s">
        <v>2230</v>
      </c>
      <c r="C171" s="1391"/>
      <c r="D171" s="779">
        <v>2</v>
      </c>
      <c r="E171" s="780" t="s">
        <v>1878</v>
      </c>
      <c r="F171" s="780" t="s">
        <v>373</v>
      </c>
      <c r="G171" s="788">
        <v>135000</v>
      </c>
      <c r="H171" s="788">
        <f>G171*D171</f>
        <v>270000</v>
      </c>
      <c r="I171" s="789"/>
    </row>
    <row r="172" spans="1:11" ht="15.6">
      <c r="A172" s="790">
        <f>A171+1</f>
        <v>2</v>
      </c>
      <c r="B172" s="820" t="s">
        <v>2273</v>
      </c>
      <c r="C172" s="1391"/>
      <c r="D172" s="779">
        <v>2</v>
      </c>
      <c r="E172" s="780" t="s">
        <v>2274</v>
      </c>
      <c r="F172" s="780" t="s">
        <v>373</v>
      </c>
      <c r="G172" s="788">
        <v>90000</v>
      </c>
      <c r="H172" s="788">
        <f>G172*D172</f>
        <v>180000</v>
      </c>
      <c r="I172" s="789"/>
    </row>
    <row r="173" spans="1:11" ht="15.6">
      <c r="A173" s="790"/>
      <c r="B173" s="1394"/>
      <c r="C173" s="1392"/>
      <c r="D173" s="791"/>
      <c r="E173" s="780"/>
      <c r="F173" s="780"/>
      <c r="G173" s="788"/>
      <c r="H173" s="788"/>
      <c r="I173" s="807">
        <f>SUM(H171:H172)</f>
        <v>450000</v>
      </c>
    </row>
    <row r="174" spans="1:11" ht="15.6">
      <c r="A174" s="793"/>
      <c r="B174" s="783"/>
      <c r="C174" s="783"/>
      <c r="D174" s="1410"/>
      <c r="E174" s="795"/>
      <c r="F174" s="811"/>
      <c r="G174" s="811" t="s">
        <v>25</v>
      </c>
      <c r="H174" s="813"/>
      <c r="I174" s="810">
        <f>I169+I173</f>
        <v>2751600</v>
      </c>
    </row>
    <row r="175" spans="1:11" ht="15.6">
      <c r="A175" s="820"/>
      <c r="B175" s="821"/>
      <c r="C175" s="821"/>
      <c r="D175" s="822"/>
      <c r="E175" s="822"/>
      <c r="F175" s="823"/>
      <c r="G175" s="819"/>
      <c r="H175" s="964"/>
      <c r="I175" s="1372"/>
    </row>
    <row r="176" spans="1:11" ht="15.6">
      <c r="A176" s="796"/>
      <c r="B176" s="797"/>
      <c r="C176" s="797"/>
      <c r="D176" s="784"/>
      <c r="E176" s="784"/>
      <c r="F176" s="785"/>
      <c r="G176" s="812"/>
      <c r="H176" s="798"/>
      <c r="I176" s="826"/>
    </row>
    <row r="177" spans="1:9" ht="15.6">
      <c r="A177" s="799"/>
      <c r="B177" s="800" t="s">
        <v>549</v>
      </c>
      <c r="C177" s="800"/>
      <c r="D177" s="1411"/>
      <c r="E177" s="800"/>
      <c r="F177" s="800"/>
      <c r="G177" s="801"/>
      <c r="H177" s="828" t="s">
        <v>28</v>
      </c>
      <c r="I177" s="775">
        <f>I174</f>
        <v>2751600</v>
      </c>
    </row>
    <row r="178" spans="1:9" ht="15.6">
      <c r="A178" s="802"/>
      <c r="B178" s="803" t="s">
        <v>2275</v>
      </c>
      <c r="C178" s="803"/>
      <c r="D178" s="1412"/>
      <c r="E178" s="804"/>
      <c r="F178" s="804"/>
      <c r="G178" s="805"/>
      <c r="H178" s="829" t="s">
        <v>30</v>
      </c>
      <c r="I178" s="807">
        <f>ROUND(I177,-3)</f>
        <v>2752000</v>
      </c>
    </row>
    <row r="179" spans="1:9" ht="15.6">
      <c r="A179" s="49"/>
      <c r="B179" s="49"/>
      <c r="C179" s="49"/>
      <c r="D179" s="823"/>
      <c r="E179" s="49"/>
      <c r="F179" s="49"/>
      <c r="G179" s="49"/>
      <c r="H179" s="49"/>
      <c r="I179" s="50"/>
    </row>
    <row r="180" spans="1:9" ht="15.6">
      <c r="A180" s="51"/>
      <c r="B180" s="51"/>
      <c r="C180" s="51"/>
      <c r="D180" s="1399"/>
      <c r="E180" s="51"/>
      <c r="F180" s="51"/>
      <c r="G180" s="51"/>
      <c r="H180" s="1509" t="s">
        <v>2276</v>
      </c>
      <c r="I180" s="1509"/>
    </row>
    <row r="181" spans="1:9" ht="15.6">
      <c r="A181" s="1509" t="s">
        <v>31</v>
      </c>
      <c r="B181" s="1509"/>
      <c r="C181" s="1379"/>
      <c r="D181" s="1509" t="s">
        <v>32</v>
      </c>
      <c r="E181" s="1509"/>
      <c r="F181" s="1509"/>
      <c r="G181" s="51"/>
      <c r="H181" s="1509" t="s">
        <v>33</v>
      </c>
      <c r="I181" s="1509"/>
    </row>
    <row r="182" spans="1:9" ht="15.6">
      <c r="A182" s="51"/>
      <c r="B182" s="51"/>
      <c r="C182" s="51"/>
      <c r="D182" s="1399"/>
      <c r="E182" s="51"/>
      <c r="F182" s="51"/>
      <c r="G182" s="51"/>
      <c r="H182" s="51"/>
      <c r="I182" s="51"/>
    </row>
    <row r="183" spans="1:9" ht="15.6">
      <c r="A183" s="51"/>
      <c r="B183" s="51"/>
      <c r="C183" s="51"/>
      <c r="D183" s="1399"/>
      <c r="E183" s="51"/>
      <c r="F183" s="51"/>
      <c r="G183" s="51"/>
      <c r="H183" s="51"/>
      <c r="I183" s="51"/>
    </row>
    <row r="184" spans="1:9" ht="15.6">
      <c r="A184" s="51"/>
      <c r="B184" s="51"/>
      <c r="C184" s="51"/>
      <c r="D184" s="1399"/>
      <c r="E184" s="51"/>
      <c r="F184" s="51"/>
      <c r="G184" s="51"/>
      <c r="H184" s="51"/>
      <c r="I184" s="51"/>
    </row>
    <row r="185" spans="1:9" ht="15.6">
      <c r="A185" s="1512" t="s">
        <v>2256</v>
      </c>
      <c r="B185" s="1512"/>
      <c r="C185" s="1380"/>
      <c r="D185" s="1512" t="s">
        <v>2248</v>
      </c>
      <c r="E185" s="1512"/>
      <c r="F185" s="1512"/>
      <c r="G185" s="51"/>
      <c r="H185" s="1512" t="s">
        <v>2257</v>
      </c>
      <c r="I185" s="1512"/>
    </row>
    <row r="186" spans="1:9" ht="15.6">
      <c r="A186" s="1509" t="s">
        <v>2247</v>
      </c>
      <c r="B186" s="1509"/>
      <c r="C186" s="1379"/>
      <c r="D186" s="1509" t="s">
        <v>1604</v>
      </c>
      <c r="E186" s="1509"/>
      <c r="F186" s="1509"/>
      <c r="G186" s="51"/>
      <c r="H186" s="1509" t="s">
        <v>39</v>
      </c>
      <c r="I186" s="1509"/>
    </row>
    <row r="187" spans="1:9" ht="15.6">
      <c r="A187" s="808"/>
      <c r="B187" s="808"/>
      <c r="C187" s="808"/>
      <c r="D187" s="1413"/>
      <c r="E187" s="808"/>
      <c r="F187" s="808"/>
      <c r="G187" s="808"/>
      <c r="H187" s="808"/>
      <c r="I187" s="808"/>
    </row>
    <row r="190" spans="1:9" ht="33.75" customHeight="1">
      <c r="A190" s="1524" t="s">
        <v>1705</v>
      </c>
      <c r="B190" s="1524"/>
      <c r="C190" s="1524"/>
      <c r="D190" s="1524"/>
      <c r="E190" s="1524"/>
      <c r="F190" s="1524"/>
      <c r="G190" s="1524"/>
      <c r="H190" s="1524"/>
      <c r="I190" s="1524"/>
    </row>
    <row r="191" spans="1:9" ht="28.5" customHeight="1">
      <c r="A191" s="1525" t="s">
        <v>2266</v>
      </c>
      <c r="B191" s="1525"/>
      <c r="C191" s="1525"/>
      <c r="D191" s="1525"/>
      <c r="E191" s="1525"/>
      <c r="F191" s="1525"/>
      <c r="G191" s="1525"/>
      <c r="H191" s="1525"/>
      <c r="I191" s="1525"/>
    </row>
    <row r="192" spans="1:9" ht="15.6">
      <c r="A192" s="1373"/>
      <c r="B192" s="1373"/>
      <c r="C192" s="1388"/>
      <c r="D192" s="1403"/>
      <c r="E192" s="1373"/>
      <c r="F192" s="1373"/>
      <c r="G192" s="1373"/>
      <c r="H192" s="1373"/>
      <c r="I192" s="1373"/>
    </row>
    <row r="193" spans="1:13" ht="15.6">
      <c r="A193" s="1516" t="s">
        <v>3</v>
      </c>
      <c r="B193" s="1516" t="s">
        <v>2267</v>
      </c>
      <c r="C193" s="1381"/>
      <c r="D193" s="1516" t="s">
        <v>5</v>
      </c>
      <c r="E193" s="1516" t="s">
        <v>6</v>
      </c>
      <c r="F193" s="1516" t="s">
        <v>7</v>
      </c>
      <c r="G193" s="770" t="s">
        <v>8</v>
      </c>
      <c r="H193" s="770" t="s">
        <v>9</v>
      </c>
      <c r="I193" s="770" t="s">
        <v>10</v>
      </c>
    </row>
    <row r="194" spans="1:13" ht="15.6">
      <c r="A194" s="1517"/>
      <c r="B194" s="1517"/>
      <c r="C194" s="1382"/>
      <c r="D194" s="1517"/>
      <c r="E194" s="1517"/>
      <c r="F194" s="1517"/>
      <c r="G194" s="771" t="s">
        <v>11</v>
      </c>
      <c r="H194" s="771" t="s">
        <v>11</v>
      </c>
      <c r="I194" s="771" t="s">
        <v>11</v>
      </c>
    </row>
    <row r="195" spans="1:13" ht="15.6">
      <c r="A195" s="770" t="s">
        <v>12</v>
      </c>
      <c r="B195" s="772" t="s">
        <v>364</v>
      </c>
      <c r="C195" s="772"/>
      <c r="D195" s="1369"/>
      <c r="E195" s="774"/>
      <c r="F195" s="774"/>
      <c r="G195" s="774"/>
      <c r="H195" s="775"/>
      <c r="I195" s="776"/>
    </row>
    <row r="196" spans="1:13" s="1378" customFormat="1" ht="91.5" customHeight="1">
      <c r="A196" s="1374">
        <v>1</v>
      </c>
      <c r="B196" s="1510" t="s">
        <v>2268</v>
      </c>
      <c r="C196" s="1511"/>
      <c r="D196" s="1375">
        <v>1</v>
      </c>
      <c r="E196" s="1374" t="s">
        <v>334</v>
      </c>
      <c r="F196" s="1374" t="s">
        <v>51</v>
      </c>
      <c r="G196" s="1376">
        <v>4750000</v>
      </c>
      <c r="H196" s="1376">
        <f>+G196*D196</f>
        <v>4750000</v>
      </c>
      <c r="I196" s="1377"/>
      <c r="M196" s="1378">
        <f>280000/6</f>
        <v>46666.666666666664</v>
      </c>
    </row>
    <row r="197" spans="1:13" ht="15.6">
      <c r="A197" s="780">
        <f>+A196+1</f>
        <v>2</v>
      </c>
      <c r="B197" s="778" t="s">
        <v>2269</v>
      </c>
      <c r="C197" s="778"/>
      <c r="D197" s="779">
        <v>1</v>
      </c>
      <c r="E197" s="780" t="s">
        <v>2270</v>
      </c>
      <c r="F197" s="780" t="s">
        <v>51</v>
      </c>
      <c r="G197" s="791">
        <v>300000</v>
      </c>
      <c r="H197" s="791">
        <f>+G197</f>
        <v>300000</v>
      </c>
      <c r="I197" s="971"/>
    </row>
    <row r="198" spans="1:13" ht="15.6">
      <c r="A198" s="814"/>
      <c r="B198" s="778"/>
      <c r="C198" s="778"/>
      <c r="D198" s="782"/>
      <c r="E198" s="780"/>
      <c r="F198" s="780"/>
      <c r="G198" s="781"/>
      <c r="H198" s="817"/>
      <c r="I198" s="818">
        <f>SUM(H196:H198)</f>
        <v>5050000</v>
      </c>
    </row>
    <row r="199" spans="1:13" ht="15.6">
      <c r="A199" s="799"/>
      <c r="B199" s="800" t="s">
        <v>549</v>
      </c>
      <c r="C199" s="800"/>
      <c r="D199" s="1411"/>
      <c r="E199" s="800"/>
      <c r="F199" s="800"/>
      <c r="G199" s="801"/>
      <c r="H199" s="828" t="s">
        <v>28</v>
      </c>
      <c r="I199" s="775">
        <f>+I198</f>
        <v>5050000</v>
      </c>
    </row>
    <row r="200" spans="1:13" ht="15.6">
      <c r="A200" s="802"/>
      <c r="B200" s="803" t="s">
        <v>2271</v>
      </c>
      <c r="C200" s="803"/>
      <c r="D200" s="1412"/>
      <c r="E200" s="804"/>
      <c r="F200" s="804"/>
      <c r="G200" s="805"/>
      <c r="H200" s="829" t="s">
        <v>30</v>
      </c>
      <c r="I200" s="807">
        <f>ROUND(I199,-3)</f>
        <v>5050000</v>
      </c>
    </row>
    <row r="201" spans="1:13" ht="15.6">
      <c r="A201" s="49"/>
      <c r="B201" s="49"/>
      <c r="C201" s="49"/>
      <c r="D201" s="823"/>
      <c r="E201" s="49"/>
      <c r="F201" s="49"/>
      <c r="G201" s="49"/>
      <c r="H201" s="49"/>
      <c r="I201" s="50"/>
    </row>
    <row r="202" spans="1:13" ht="15.6">
      <c r="A202" s="51"/>
      <c r="B202" s="51"/>
      <c r="C202" s="51"/>
      <c r="D202" s="1399"/>
      <c r="E202" s="51"/>
      <c r="F202" s="51"/>
      <c r="G202" s="51"/>
      <c r="H202" s="1509" t="s">
        <v>2254</v>
      </c>
      <c r="I202" s="1509"/>
    </row>
    <row r="203" spans="1:13" ht="15.6">
      <c r="A203" s="1509" t="s">
        <v>31</v>
      </c>
      <c r="B203" s="1509"/>
      <c r="C203" s="1379"/>
      <c r="D203" s="1509" t="s">
        <v>32</v>
      </c>
      <c r="E203" s="1509"/>
      <c r="F203" s="1509"/>
      <c r="G203" s="51"/>
      <c r="H203" s="1509" t="s">
        <v>33</v>
      </c>
      <c r="I203" s="1509"/>
    </row>
    <row r="204" spans="1:13" ht="15.6">
      <c r="A204" s="51"/>
      <c r="B204" s="51"/>
      <c r="C204" s="51"/>
      <c r="D204" s="1399"/>
      <c r="E204" s="51"/>
      <c r="F204" s="51"/>
      <c r="G204" s="51"/>
      <c r="H204" s="51"/>
      <c r="I204" s="51"/>
    </row>
    <row r="205" spans="1:13" ht="15.6">
      <c r="A205" s="51"/>
      <c r="B205" s="51"/>
      <c r="C205" s="51"/>
      <c r="D205" s="1399"/>
      <c r="E205" s="51"/>
      <c r="F205" s="51"/>
      <c r="G205" s="51"/>
      <c r="H205" s="51"/>
      <c r="I205" s="51"/>
    </row>
    <row r="206" spans="1:13" ht="15.6">
      <c r="A206" s="51"/>
      <c r="B206" s="51"/>
      <c r="C206" s="51"/>
      <c r="D206" s="1399"/>
      <c r="E206" s="51"/>
      <c r="F206" s="51"/>
      <c r="G206" s="51"/>
      <c r="H206" s="51"/>
      <c r="I206" s="51"/>
    </row>
    <row r="207" spans="1:13" ht="15.6">
      <c r="A207" s="1512" t="s">
        <v>2256</v>
      </c>
      <c r="B207" s="1512"/>
      <c r="C207" s="1380"/>
      <c r="D207" s="1512" t="s">
        <v>2272</v>
      </c>
      <c r="E207" s="1512"/>
      <c r="F207" s="1512"/>
      <c r="G207" s="51"/>
      <c r="H207" s="1512" t="s">
        <v>2257</v>
      </c>
      <c r="I207" s="1512"/>
    </row>
    <row r="208" spans="1:13" ht="15.6">
      <c r="A208" s="1509" t="s">
        <v>2247</v>
      </c>
      <c r="B208" s="1509"/>
      <c r="C208" s="1379"/>
      <c r="D208" s="1509" t="s">
        <v>2235</v>
      </c>
      <c r="E208" s="1509"/>
      <c r="F208" s="1509"/>
      <c r="G208" s="51"/>
      <c r="H208" s="1509" t="s">
        <v>39</v>
      </c>
      <c r="I208" s="1509"/>
    </row>
    <row r="209" spans="1:14" ht="15.6">
      <c r="A209" s="808"/>
      <c r="B209" s="808"/>
      <c r="C209" s="808"/>
      <c r="D209" s="1413"/>
      <c r="E209" s="808"/>
      <c r="F209" s="808"/>
      <c r="G209" s="808"/>
      <c r="H209" s="808"/>
      <c r="I209" s="808"/>
    </row>
    <row r="211" spans="1:14" ht="28.8">
      <c r="A211" s="1513" t="s">
        <v>1705</v>
      </c>
      <c r="B211" s="1513"/>
      <c r="C211" s="1513"/>
      <c r="D211" s="1513"/>
      <c r="E211" s="1513"/>
      <c r="F211" s="1513"/>
      <c r="G211" s="1513"/>
      <c r="H211" s="1513"/>
      <c r="I211" s="1513"/>
    </row>
    <row r="212" spans="1:14" s="1141" customFormat="1" ht="24.75" customHeight="1">
      <c r="A212" s="830" t="s">
        <v>2278</v>
      </c>
      <c r="C212" s="1514" t="s">
        <v>2280</v>
      </c>
      <c r="D212" s="1514"/>
      <c r="E212" s="1514"/>
      <c r="F212" s="1514"/>
      <c r="G212" s="1514"/>
      <c r="H212" s="1514"/>
      <c r="I212" s="1514"/>
    </row>
    <row r="213" spans="1:14" s="1141" customFormat="1" ht="21">
      <c r="A213" s="830" t="s">
        <v>1208</v>
      </c>
      <c r="C213" s="1515" t="s">
        <v>2279</v>
      </c>
      <c r="D213" s="1515"/>
      <c r="E213" s="1515"/>
      <c r="F213" s="1515"/>
      <c r="G213" s="1515"/>
      <c r="H213" s="1515"/>
      <c r="I213" s="1515"/>
    </row>
    <row r="214" spans="1:14" ht="15.6">
      <c r="A214" s="1388"/>
      <c r="B214" s="1388"/>
      <c r="C214" s="1388"/>
      <c r="D214" s="1403"/>
      <c r="E214" s="1388"/>
      <c r="F214" s="1388"/>
      <c r="G214" s="1388"/>
      <c r="H214" s="1388"/>
      <c r="I214" s="1388"/>
    </row>
    <row r="215" spans="1:14" ht="15.6">
      <c r="A215" s="1516" t="s">
        <v>3</v>
      </c>
      <c r="B215" s="1518" t="s">
        <v>4</v>
      </c>
      <c r="C215" s="1519"/>
      <c r="D215" s="1516" t="s">
        <v>5</v>
      </c>
      <c r="E215" s="1516" t="s">
        <v>6</v>
      </c>
      <c r="F215" s="1516" t="s">
        <v>7</v>
      </c>
      <c r="G215" s="770" t="s">
        <v>8</v>
      </c>
      <c r="H215" s="770" t="s">
        <v>9</v>
      </c>
      <c r="I215" s="770" t="s">
        <v>10</v>
      </c>
    </row>
    <row r="216" spans="1:14" ht="15.6">
      <c r="A216" s="1517"/>
      <c r="B216" s="1520"/>
      <c r="C216" s="1521"/>
      <c r="D216" s="1517"/>
      <c r="E216" s="1517"/>
      <c r="F216" s="1517"/>
      <c r="G216" s="771" t="s">
        <v>11</v>
      </c>
      <c r="H216" s="771" t="s">
        <v>11</v>
      </c>
      <c r="I216" s="771" t="s">
        <v>11</v>
      </c>
    </row>
    <row r="217" spans="1:14" ht="15.6">
      <c r="A217" s="770" t="s">
        <v>12</v>
      </c>
      <c r="B217" s="1393" t="s">
        <v>364</v>
      </c>
      <c r="C217" s="1390"/>
      <c r="D217" s="1369"/>
      <c r="E217" s="774"/>
      <c r="F217" s="774"/>
      <c r="G217" s="774"/>
      <c r="H217" s="775"/>
      <c r="I217" s="776"/>
    </row>
    <row r="218" spans="1:14" s="1378" customFormat="1" ht="84" customHeight="1">
      <c r="A218" s="1374">
        <v>1</v>
      </c>
      <c r="B218" s="1510" t="s">
        <v>2281</v>
      </c>
      <c r="C218" s="1511"/>
      <c r="D218" s="1375">
        <f>6.5 *2</f>
        <v>13</v>
      </c>
      <c r="E218" s="1374" t="s">
        <v>44</v>
      </c>
      <c r="F218" s="1374" t="s">
        <v>16</v>
      </c>
      <c r="G218" s="1376">
        <v>600000</v>
      </c>
      <c r="H218" s="1376">
        <f>+G218*D218</f>
        <v>7800000</v>
      </c>
      <c r="I218" s="1377"/>
      <c r="M218" s="1378">
        <f>280000/6</f>
        <v>46666.666666666664</v>
      </c>
      <c r="N218" s="1378">
        <f>15*2.5</f>
        <v>37.5</v>
      </c>
    </row>
    <row r="219" spans="1:14" s="1397" customFormat="1" ht="70.5" customHeight="1">
      <c r="A219" s="1374">
        <f>+A218+1</f>
        <v>2</v>
      </c>
      <c r="B219" s="1510" t="s">
        <v>2282</v>
      </c>
      <c r="C219" s="1511"/>
      <c r="D219" s="1375">
        <v>1</v>
      </c>
      <c r="E219" s="1374" t="s">
        <v>414</v>
      </c>
      <c r="F219" s="1374" t="s">
        <v>16</v>
      </c>
      <c r="G219" s="1395">
        <v>100000</v>
      </c>
      <c r="H219" s="1395">
        <f>+G219*D219</f>
        <v>100000</v>
      </c>
      <c r="I219" s="1396"/>
    </row>
    <row r="220" spans="1:14" ht="15.6">
      <c r="A220" s="1374">
        <f t="shared" ref="A220" si="3">+A219+1</f>
        <v>3</v>
      </c>
      <c r="B220" s="820" t="s">
        <v>2284</v>
      </c>
      <c r="C220" s="1391"/>
      <c r="D220" s="1389">
        <v>1</v>
      </c>
      <c r="E220" s="780"/>
      <c r="F220" s="780" t="s">
        <v>51</v>
      </c>
      <c r="G220" s="791">
        <v>150000</v>
      </c>
      <c r="H220" s="791">
        <f t="shared" ref="H220" si="4">+G220*D220</f>
        <v>150000</v>
      </c>
      <c r="I220" s="971"/>
      <c r="K220" s="1">
        <f>24*3*2</f>
        <v>144</v>
      </c>
    </row>
    <row r="221" spans="1:14" ht="15.6">
      <c r="A221" s="814"/>
      <c r="B221" s="820"/>
      <c r="C221" s="1391"/>
      <c r="D221" s="782"/>
      <c r="E221" s="780"/>
      <c r="F221" s="780"/>
      <c r="G221" s="781"/>
      <c r="H221" s="817"/>
      <c r="I221" s="818">
        <f>SUM(H218:H221)</f>
        <v>8050000</v>
      </c>
    </row>
    <row r="222" spans="1:14" ht="15.6">
      <c r="A222" s="786" t="s">
        <v>18</v>
      </c>
      <c r="B222" s="1393" t="s">
        <v>19</v>
      </c>
      <c r="C222" s="1390"/>
      <c r="D222" s="1369"/>
      <c r="E222" s="1370"/>
      <c r="F222" s="1370"/>
      <c r="G222" s="1371"/>
      <c r="H222" s="781"/>
      <c r="I222" s="1133"/>
      <c r="K222" s="1">
        <f>21*3*2</f>
        <v>126</v>
      </c>
    </row>
    <row r="223" spans="1:14" ht="15.6">
      <c r="A223" s="790">
        <v>1</v>
      </c>
      <c r="B223" s="820" t="s">
        <v>2230</v>
      </c>
      <c r="C223" s="1391"/>
      <c r="D223" s="779">
        <v>3</v>
      </c>
      <c r="E223" s="780" t="s">
        <v>1878</v>
      </c>
      <c r="F223" s="780" t="s">
        <v>373</v>
      </c>
      <c r="G223" s="788">
        <v>135000</v>
      </c>
      <c r="H223" s="788">
        <f>G223*D223</f>
        <v>405000</v>
      </c>
      <c r="I223" s="789"/>
    </row>
    <row r="224" spans="1:14" ht="15.6">
      <c r="A224" s="790">
        <f>A223+1</f>
        <v>2</v>
      </c>
      <c r="B224" s="820" t="s">
        <v>2273</v>
      </c>
      <c r="C224" s="1391"/>
      <c r="D224" s="779">
        <v>3</v>
      </c>
      <c r="E224" s="780" t="s">
        <v>2274</v>
      </c>
      <c r="F224" s="780" t="s">
        <v>373</v>
      </c>
      <c r="G224" s="788">
        <v>90000</v>
      </c>
      <c r="H224" s="788">
        <f>G224*D224</f>
        <v>270000</v>
      </c>
      <c r="I224" s="789"/>
    </row>
    <row r="225" spans="1:9" ht="15.6">
      <c r="A225" s="790"/>
      <c r="B225" s="1394"/>
      <c r="C225" s="1392"/>
      <c r="D225" s="791"/>
      <c r="E225" s="780"/>
      <c r="F225" s="780"/>
      <c r="G225" s="788"/>
      <c r="H225" s="788"/>
      <c r="I225" s="807">
        <f>SUM(H223:H224)</f>
        <v>675000</v>
      </c>
    </row>
    <row r="226" spans="1:9" ht="15.6">
      <c r="A226" s="793"/>
      <c r="B226" s="783"/>
      <c r="C226" s="783"/>
      <c r="D226" s="1410"/>
      <c r="E226" s="795"/>
      <c r="F226" s="811"/>
      <c r="G226" s="811" t="s">
        <v>25</v>
      </c>
      <c r="H226" s="813"/>
      <c r="I226" s="810">
        <f>I221+I225</f>
        <v>8725000</v>
      </c>
    </row>
    <row r="227" spans="1:9" ht="15.6">
      <c r="A227" s="820"/>
      <c r="B227" s="821"/>
      <c r="C227" s="821"/>
      <c r="D227" s="822"/>
      <c r="E227" s="822"/>
      <c r="F227" s="823"/>
      <c r="G227" s="819"/>
      <c r="H227" s="964"/>
      <c r="I227" s="1372"/>
    </row>
    <row r="228" spans="1:9" ht="15.6">
      <c r="A228" s="796"/>
      <c r="B228" s="797"/>
      <c r="C228" s="797"/>
      <c r="D228" s="784"/>
      <c r="E228" s="784"/>
      <c r="F228" s="785"/>
      <c r="G228" s="812"/>
      <c r="H228" s="798"/>
      <c r="I228" s="826"/>
    </row>
    <row r="229" spans="1:9" ht="15.6">
      <c r="A229" s="799"/>
      <c r="B229" s="800" t="s">
        <v>549</v>
      </c>
      <c r="C229" s="800"/>
      <c r="D229" s="1411"/>
      <c r="E229" s="800"/>
      <c r="F229" s="800"/>
      <c r="G229" s="801"/>
      <c r="H229" s="828" t="s">
        <v>28</v>
      </c>
      <c r="I229" s="775">
        <f>I226</f>
        <v>8725000</v>
      </c>
    </row>
    <row r="230" spans="1:9" ht="15.6">
      <c r="A230" s="802"/>
      <c r="B230" s="1398" t="s">
        <v>2283</v>
      </c>
      <c r="C230" s="803"/>
      <c r="D230" s="1412"/>
      <c r="E230" s="804"/>
      <c r="F230" s="804"/>
      <c r="G230" s="805"/>
      <c r="H230" s="829" t="s">
        <v>30</v>
      </c>
      <c r="I230" s="807">
        <f>ROUND(I229,-3)</f>
        <v>8725000</v>
      </c>
    </row>
    <row r="231" spans="1:9" ht="15.6">
      <c r="A231" s="49"/>
      <c r="B231" s="49"/>
      <c r="C231" s="49"/>
      <c r="D231" s="823"/>
      <c r="E231" s="49"/>
      <c r="F231" s="49"/>
      <c r="G231" s="49"/>
      <c r="H231" s="49"/>
      <c r="I231" s="50"/>
    </row>
    <row r="232" spans="1:9" ht="15.6">
      <c r="A232" s="51"/>
      <c r="B232" s="51"/>
      <c r="C232" s="51"/>
      <c r="D232" s="1399"/>
      <c r="E232" s="51"/>
      <c r="F232" s="51"/>
      <c r="G232" s="51"/>
      <c r="H232" s="1509" t="s">
        <v>2276</v>
      </c>
      <c r="I232" s="1509"/>
    </row>
    <row r="233" spans="1:9" ht="15.6">
      <c r="A233" s="1509" t="s">
        <v>234</v>
      </c>
      <c r="B233" s="1509"/>
      <c r="C233" s="1509"/>
      <c r="D233" s="1509" t="s">
        <v>32</v>
      </c>
      <c r="E233" s="1509"/>
      <c r="F233" s="1509"/>
      <c r="G233" s="1509"/>
      <c r="H233" s="1509" t="s">
        <v>33</v>
      </c>
      <c r="I233" s="1509"/>
    </row>
    <row r="234" spans="1:9" ht="15.6">
      <c r="A234" s="51"/>
      <c r="B234" s="51"/>
      <c r="C234" s="51"/>
      <c r="D234" s="1399"/>
      <c r="E234" s="51"/>
      <c r="F234" s="51"/>
      <c r="G234" s="51"/>
      <c r="H234" s="51"/>
      <c r="I234" s="51"/>
    </row>
    <row r="235" spans="1:9" ht="15.6">
      <c r="A235" s="51"/>
      <c r="B235" s="51"/>
      <c r="C235" s="51"/>
      <c r="D235" s="1399"/>
      <c r="E235" s="51"/>
      <c r="F235" s="51"/>
      <c r="G235" s="51"/>
      <c r="H235" s="51"/>
      <c r="I235" s="51"/>
    </row>
    <row r="236" spans="1:9" ht="15.6">
      <c r="A236" s="51"/>
      <c r="B236" s="51"/>
      <c r="C236" s="51"/>
      <c r="D236" s="1399"/>
      <c r="E236" s="51"/>
      <c r="F236" s="51"/>
      <c r="G236" s="51"/>
      <c r="H236" s="51"/>
      <c r="I236" s="51"/>
    </row>
    <row r="237" spans="1:9" ht="15.6">
      <c r="A237" s="1512" t="s">
        <v>2256</v>
      </c>
      <c r="B237" s="1512"/>
      <c r="C237" s="1512"/>
      <c r="D237" s="1512" t="s">
        <v>2248</v>
      </c>
      <c r="E237" s="1512"/>
      <c r="F237" s="1512"/>
      <c r="G237" s="1512"/>
      <c r="H237" s="1512" t="s">
        <v>2257</v>
      </c>
      <c r="I237" s="1512"/>
    </row>
    <row r="238" spans="1:9" ht="15.6">
      <c r="A238" s="1509" t="s">
        <v>2247</v>
      </c>
      <c r="B238" s="1509"/>
      <c r="C238" s="1509"/>
      <c r="D238" s="1509" t="s">
        <v>1604</v>
      </c>
      <c r="E238" s="1509"/>
      <c r="F238" s="1509"/>
      <c r="G238" s="1509"/>
      <c r="H238" s="1509" t="s">
        <v>39</v>
      </c>
      <c r="I238" s="1509"/>
    </row>
    <row r="239" spans="1:9" ht="15.6">
      <c r="A239" s="808"/>
      <c r="B239" s="808"/>
      <c r="C239" s="808"/>
      <c r="D239" s="1413"/>
      <c r="E239" s="808"/>
      <c r="F239" s="808"/>
      <c r="G239" s="808"/>
      <c r="H239" s="808"/>
      <c r="I239" s="808"/>
    </row>
    <row r="242" spans="1:14" ht="28.8">
      <c r="A242" s="1513" t="s">
        <v>1705</v>
      </c>
      <c r="B242" s="1513"/>
      <c r="C242" s="1513"/>
      <c r="D242" s="1513"/>
      <c r="E242" s="1513"/>
      <c r="F242" s="1513"/>
      <c r="G242" s="1513"/>
      <c r="H242" s="1513"/>
      <c r="I242" s="1513"/>
    </row>
    <row r="243" spans="1:14" s="1141" customFormat="1" ht="24.75" customHeight="1">
      <c r="A243" s="830" t="s">
        <v>2278</v>
      </c>
      <c r="C243" s="1514" t="s">
        <v>2311</v>
      </c>
      <c r="D243" s="1514"/>
      <c r="E243" s="1514"/>
      <c r="F243" s="1514"/>
      <c r="G243" s="1514"/>
      <c r="H243" s="1514"/>
      <c r="I243" s="1514"/>
    </row>
    <row r="244" spans="1:14" s="1141" customFormat="1" ht="21">
      <c r="A244" s="830" t="s">
        <v>1208</v>
      </c>
      <c r="C244" s="1515" t="s">
        <v>2285</v>
      </c>
      <c r="D244" s="1515"/>
      <c r="E244" s="1515"/>
      <c r="F244" s="1515"/>
      <c r="G244" s="1515"/>
      <c r="H244" s="1515"/>
      <c r="I244" s="1515"/>
    </row>
    <row r="245" spans="1:14" ht="15.6">
      <c r="A245" s="1403"/>
      <c r="B245" s="1403"/>
      <c r="C245" s="1403"/>
      <c r="D245" s="1403"/>
      <c r="E245" s="1403"/>
      <c r="F245" s="1403"/>
      <c r="G245" s="1403"/>
      <c r="H245" s="1403"/>
      <c r="I245" s="1403"/>
    </row>
    <row r="246" spans="1:14" ht="15.6">
      <c r="A246" s="1516" t="s">
        <v>3</v>
      </c>
      <c r="B246" s="1518" t="s">
        <v>4</v>
      </c>
      <c r="C246" s="1519"/>
      <c r="D246" s="1516" t="s">
        <v>5</v>
      </c>
      <c r="E246" s="1516" t="s">
        <v>6</v>
      </c>
      <c r="F246" s="1516" t="s">
        <v>7</v>
      </c>
      <c r="G246" s="770" t="s">
        <v>8</v>
      </c>
      <c r="H246" s="770" t="s">
        <v>9</v>
      </c>
      <c r="I246" s="770" t="s">
        <v>10</v>
      </c>
    </row>
    <row r="247" spans="1:14" ht="15.6">
      <c r="A247" s="1517"/>
      <c r="B247" s="1520"/>
      <c r="C247" s="1521"/>
      <c r="D247" s="1517"/>
      <c r="E247" s="1517"/>
      <c r="F247" s="1517"/>
      <c r="G247" s="771" t="s">
        <v>11</v>
      </c>
      <c r="H247" s="771" t="s">
        <v>11</v>
      </c>
      <c r="I247" s="771" t="s">
        <v>11</v>
      </c>
    </row>
    <row r="248" spans="1:14" s="808" customFormat="1" ht="15.6">
      <c r="A248" s="770" t="s">
        <v>2287</v>
      </c>
      <c r="B248" s="1404" t="s">
        <v>2286</v>
      </c>
      <c r="C248" s="1390"/>
      <c r="D248" s="1369"/>
      <c r="E248" s="774"/>
      <c r="F248" s="774"/>
      <c r="G248" s="774"/>
      <c r="H248" s="775"/>
      <c r="I248" s="776"/>
    </row>
    <row r="249" spans="1:14" s="808" customFormat="1" ht="15.6">
      <c r="A249" s="786" t="s">
        <v>12</v>
      </c>
      <c r="B249" s="1421" t="s">
        <v>13</v>
      </c>
      <c r="C249" s="1422"/>
      <c r="D249" s="782"/>
      <c r="E249" s="778"/>
      <c r="F249" s="778"/>
      <c r="G249" s="778"/>
      <c r="H249" s="810"/>
      <c r="I249" s="789"/>
    </row>
    <row r="250" spans="1:14" s="1417" customFormat="1" ht="18.75" customHeight="1">
      <c r="A250" s="1374">
        <v>1</v>
      </c>
      <c r="B250" s="1527" t="s">
        <v>2305</v>
      </c>
      <c r="C250" s="1528"/>
      <c r="D250" s="1375">
        <v>0.2</v>
      </c>
      <c r="E250" s="1374" t="s">
        <v>2288</v>
      </c>
      <c r="F250" s="1374" t="s">
        <v>16</v>
      </c>
      <c r="G250" s="1376">
        <v>909500</v>
      </c>
      <c r="H250" s="1376">
        <f>+G250*D250</f>
        <v>181900</v>
      </c>
      <c r="I250" s="1377"/>
      <c r="M250" s="1417">
        <f>280000/6</f>
        <v>46666.666666666664</v>
      </c>
      <c r="N250" s="1417">
        <f>15*2.5</f>
        <v>37.5</v>
      </c>
    </row>
    <row r="251" spans="1:14" s="1418" customFormat="1" ht="18.75" customHeight="1">
      <c r="A251" s="1374">
        <f>+A250+1</f>
        <v>2</v>
      </c>
      <c r="B251" s="1527" t="s">
        <v>2289</v>
      </c>
      <c r="C251" s="1528"/>
      <c r="D251" s="1375">
        <v>1</v>
      </c>
      <c r="E251" s="1374" t="s">
        <v>2288</v>
      </c>
      <c r="F251" s="1374" t="s">
        <v>16</v>
      </c>
      <c r="G251" s="1395">
        <v>50000</v>
      </c>
      <c r="H251" s="1395">
        <f>+G251*D251</f>
        <v>50000</v>
      </c>
      <c r="I251" s="1396"/>
    </row>
    <row r="252" spans="1:14" s="1417" customFormat="1" ht="18.75" customHeight="1">
      <c r="A252" s="1374">
        <f t="shared" ref="A252:A253" si="5">+A251+1</f>
        <v>3</v>
      </c>
      <c r="B252" s="1527" t="s">
        <v>2307</v>
      </c>
      <c r="C252" s="1528"/>
      <c r="D252" s="1375">
        <v>1</v>
      </c>
      <c r="E252" s="1374" t="s">
        <v>403</v>
      </c>
      <c r="F252" s="1374" t="s">
        <v>16</v>
      </c>
      <c r="G252" s="1376">
        <v>859000</v>
      </c>
      <c r="H252" s="1376">
        <f>+G252*D252</f>
        <v>859000</v>
      </c>
      <c r="I252" s="1377"/>
      <c r="M252" s="1417">
        <f>280000/6</f>
        <v>46666.666666666664</v>
      </c>
      <c r="N252" s="1417">
        <f>15*2.5</f>
        <v>37.5</v>
      </c>
    </row>
    <row r="253" spans="1:14" s="808" customFormat="1" ht="15.6">
      <c r="A253" s="1374">
        <f t="shared" si="5"/>
        <v>4</v>
      </c>
      <c r="B253" s="1423" t="s">
        <v>2134</v>
      </c>
      <c r="C253" s="1423"/>
      <c r="D253" s="1375">
        <v>8</v>
      </c>
      <c r="E253" s="780" t="s">
        <v>44</v>
      </c>
      <c r="F253" s="780" t="s">
        <v>82</v>
      </c>
      <c r="G253" s="1405">
        <v>3400</v>
      </c>
      <c r="H253" s="1406">
        <f>G253*D253</f>
        <v>27200</v>
      </c>
      <c r="I253" s="1133"/>
    </row>
    <row r="254" spans="1:14" s="808" customFormat="1" ht="15.6">
      <c r="A254" s="814"/>
      <c r="B254" s="1424"/>
      <c r="C254" s="1425"/>
      <c r="D254" s="782"/>
      <c r="E254" s="780"/>
      <c r="F254" s="780"/>
      <c r="G254" s="781"/>
      <c r="H254" s="817"/>
      <c r="I254" s="818">
        <f>SUM(H250:H253)</f>
        <v>1118100</v>
      </c>
    </row>
    <row r="255" spans="1:14" s="808" customFormat="1" ht="15.6">
      <c r="A255" s="786" t="s">
        <v>18</v>
      </c>
      <c r="B255" s="1426" t="s">
        <v>2290</v>
      </c>
      <c r="C255" s="1427"/>
      <c r="D255" s="1369"/>
      <c r="E255" s="1370"/>
      <c r="F255" s="1370"/>
      <c r="G255" s="1371"/>
      <c r="H255" s="781"/>
      <c r="I255" s="1133"/>
      <c r="K255" s="808">
        <f>21*3*2</f>
        <v>126</v>
      </c>
    </row>
    <row r="256" spans="1:14" s="808" customFormat="1" ht="15.6">
      <c r="A256" s="790">
        <v>1</v>
      </c>
      <c r="B256" s="1419" t="s">
        <v>2293</v>
      </c>
      <c r="C256" s="1425"/>
      <c r="D256" s="1415" t="s">
        <v>126</v>
      </c>
      <c r="E256" s="1416" t="s">
        <v>126</v>
      </c>
      <c r="F256" s="780" t="s">
        <v>51</v>
      </c>
      <c r="G256" s="788">
        <v>150000</v>
      </c>
      <c r="H256" s="788">
        <f>+G256</f>
        <v>150000</v>
      </c>
      <c r="I256" s="789"/>
    </row>
    <row r="257" spans="1:14" s="808" customFormat="1" ht="15.6">
      <c r="A257" s="790">
        <f>A256+1</f>
        <v>2</v>
      </c>
      <c r="B257" s="1419" t="s">
        <v>2306</v>
      </c>
      <c r="C257" s="1425"/>
      <c r="D257" s="997">
        <f>3.14*0.15</f>
        <v>0.47099999999999997</v>
      </c>
      <c r="E257" s="780" t="s">
        <v>179</v>
      </c>
      <c r="F257" s="780" t="s">
        <v>16</v>
      </c>
      <c r="G257" s="788">
        <v>79988</v>
      </c>
      <c r="H257" s="788">
        <f>G257*D257</f>
        <v>37674.347999999998</v>
      </c>
      <c r="I257" s="789"/>
    </row>
    <row r="258" spans="1:14" s="808" customFormat="1" ht="15.6">
      <c r="A258" s="790">
        <f>A257+1</f>
        <v>3</v>
      </c>
      <c r="B258" s="1419" t="s">
        <v>2297</v>
      </c>
      <c r="C258" s="1425"/>
      <c r="D258" s="997">
        <f>+D257*3</f>
        <v>1.4129999999999998</v>
      </c>
      <c r="E258" s="780" t="s">
        <v>179</v>
      </c>
      <c r="F258" s="780" t="s">
        <v>16</v>
      </c>
      <c r="G258" s="788">
        <v>79988</v>
      </c>
      <c r="H258" s="788">
        <f>G258*D258</f>
        <v>113023.04399999998</v>
      </c>
      <c r="I258" s="789"/>
    </row>
    <row r="259" spans="1:14" s="808" customFormat="1" ht="15.6">
      <c r="A259" s="790">
        <f>A258+1</f>
        <v>4</v>
      </c>
      <c r="B259" s="1419" t="s">
        <v>2294</v>
      </c>
      <c r="C259" s="1425"/>
      <c r="D259" s="997">
        <f>+D258</f>
        <v>1.4129999999999998</v>
      </c>
      <c r="E259" s="780" t="s">
        <v>179</v>
      </c>
      <c r="F259" s="780" t="s">
        <v>16</v>
      </c>
      <c r="G259" s="788">
        <v>79988</v>
      </c>
      <c r="H259" s="788">
        <f>G259*D259</f>
        <v>113023.04399999998</v>
      </c>
      <c r="I259" s="789"/>
    </row>
    <row r="260" spans="1:14" s="808" customFormat="1" ht="15.6">
      <c r="A260" s="790">
        <f t="shared" ref="A260:A262" si="6">A259+1</f>
        <v>5</v>
      </c>
      <c r="B260" s="1419" t="s">
        <v>2291</v>
      </c>
      <c r="C260" s="1391"/>
      <c r="D260" s="1415" t="s">
        <v>126</v>
      </c>
      <c r="E260" s="1416" t="s">
        <v>126</v>
      </c>
      <c r="F260" s="780" t="s">
        <v>51</v>
      </c>
      <c r="G260" s="788">
        <v>150000</v>
      </c>
      <c r="H260" s="788">
        <f>+G260</f>
        <v>150000</v>
      </c>
      <c r="I260" s="789"/>
    </row>
    <row r="261" spans="1:14" s="808" customFormat="1" ht="15.6">
      <c r="A261" s="790">
        <f t="shared" si="6"/>
        <v>6</v>
      </c>
      <c r="B261" s="1419" t="s">
        <v>2292</v>
      </c>
      <c r="C261" s="1391"/>
      <c r="D261" s="997">
        <v>1</v>
      </c>
      <c r="E261" s="780" t="s">
        <v>2295</v>
      </c>
      <c r="F261" s="780" t="s">
        <v>16</v>
      </c>
      <c r="G261" s="788">
        <v>197000</v>
      </c>
      <c r="H261" s="788">
        <f>G261*D261</f>
        <v>197000</v>
      </c>
      <c r="I261" s="789"/>
    </row>
    <row r="262" spans="1:14" s="808" customFormat="1" ht="15.6">
      <c r="A262" s="790">
        <f t="shared" si="6"/>
        <v>7</v>
      </c>
      <c r="B262" s="1420" t="s">
        <v>2296</v>
      </c>
      <c r="C262" s="1142"/>
      <c r="D262" s="779">
        <v>1</v>
      </c>
      <c r="E262" s="764" t="s">
        <v>138</v>
      </c>
      <c r="F262" s="15" t="s">
        <v>16</v>
      </c>
      <c r="G262" s="1146">
        <v>55000</v>
      </c>
      <c r="H262" s="1146">
        <f>G262*D262</f>
        <v>55000</v>
      </c>
      <c r="I262" s="25"/>
    </row>
    <row r="263" spans="1:14" s="808" customFormat="1" ht="15.6">
      <c r="A263" s="790"/>
      <c r="B263" s="1394"/>
      <c r="C263" s="1392"/>
      <c r="D263" s="791"/>
      <c r="E263" s="780"/>
      <c r="F263" s="780"/>
      <c r="G263" s="788"/>
      <c r="H263" s="788"/>
      <c r="I263" s="807">
        <f>SUM(H256:H262)</f>
        <v>815720.43599999999</v>
      </c>
    </row>
    <row r="264" spans="1:14" s="808" customFormat="1" ht="15.6">
      <c r="A264" s="770" t="s">
        <v>2298</v>
      </c>
      <c r="B264" s="1404" t="s">
        <v>2299</v>
      </c>
      <c r="C264" s="1390"/>
      <c r="D264" s="1369"/>
      <c r="E264" s="774"/>
      <c r="F264" s="774"/>
      <c r="G264" s="774"/>
      <c r="H264" s="775"/>
      <c r="I264" s="776"/>
    </row>
    <row r="265" spans="1:14" s="808" customFormat="1" ht="15.6">
      <c r="A265" s="786" t="s">
        <v>12</v>
      </c>
      <c r="B265" s="1421" t="s">
        <v>13</v>
      </c>
      <c r="C265" s="1422"/>
      <c r="D265" s="782"/>
      <c r="E265" s="778"/>
      <c r="F265" s="778"/>
      <c r="G265" s="778"/>
      <c r="H265" s="810"/>
      <c r="I265" s="789"/>
    </row>
    <row r="266" spans="1:14" s="1417" customFormat="1" ht="18.75" customHeight="1">
      <c r="A266" s="1374">
        <v>1</v>
      </c>
      <c r="B266" s="1527" t="s">
        <v>2312</v>
      </c>
      <c r="C266" s="1528"/>
      <c r="D266" s="1375">
        <v>1</v>
      </c>
      <c r="E266" s="1374" t="s">
        <v>403</v>
      </c>
      <c r="F266" s="1374" t="s">
        <v>16</v>
      </c>
      <c r="G266" s="1376">
        <v>1880000</v>
      </c>
      <c r="H266" s="1376">
        <f>+G266*D266</f>
        <v>1880000</v>
      </c>
      <c r="I266" s="1377"/>
      <c r="M266" s="1417">
        <f>280000/6</f>
        <v>46666.666666666664</v>
      </c>
      <c r="N266" s="1417">
        <f>15*2.5</f>
        <v>37.5</v>
      </c>
    </row>
    <row r="267" spans="1:14" s="1418" customFormat="1" ht="18.75" customHeight="1">
      <c r="A267" s="1374">
        <f>+A266+1</f>
        <v>2</v>
      </c>
      <c r="B267" s="1527" t="s">
        <v>2289</v>
      </c>
      <c r="C267" s="1528"/>
      <c r="D267" s="1375">
        <v>2</v>
      </c>
      <c r="E267" s="1374" t="s">
        <v>2288</v>
      </c>
      <c r="F267" s="1374" t="s">
        <v>16</v>
      </c>
      <c r="G267" s="1395">
        <v>50000</v>
      </c>
      <c r="H267" s="1395">
        <f>+G267*D267</f>
        <v>100000</v>
      </c>
      <c r="I267" s="1396"/>
    </row>
    <row r="268" spans="1:14" s="808" customFormat="1" ht="15.6">
      <c r="A268" s="1374">
        <f>+A267+1</f>
        <v>3</v>
      </c>
      <c r="B268" s="1423" t="s">
        <v>2134</v>
      </c>
      <c r="C268" s="1423"/>
      <c r="D268" s="1375">
        <v>16</v>
      </c>
      <c r="E268" s="780" t="s">
        <v>44</v>
      </c>
      <c r="F268" s="780" t="s">
        <v>82</v>
      </c>
      <c r="G268" s="1405">
        <v>3400</v>
      </c>
      <c r="H268" s="1406">
        <f>G268*D268</f>
        <v>54400</v>
      </c>
      <c r="I268" s="1133"/>
    </row>
    <row r="269" spans="1:14" s="808" customFormat="1" ht="15.6">
      <c r="A269" s="814"/>
      <c r="B269" s="1424"/>
      <c r="C269" s="1425"/>
      <c r="D269" s="782"/>
      <c r="E269" s="780"/>
      <c r="F269" s="780"/>
      <c r="G269" s="781"/>
      <c r="H269" s="817"/>
      <c r="I269" s="818">
        <f>SUM(H266:H268)</f>
        <v>2034400</v>
      </c>
    </row>
    <row r="270" spans="1:14" s="808" customFormat="1" ht="15.6">
      <c r="A270" s="786" t="s">
        <v>18</v>
      </c>
      <c r="B270" s="1426" t="s">
        <v>2290</v>
      </c>
      <c r="C270" s="1427"/>
      <c r="D270" s="1369"/>
      <c r="E270" s="1370"/>
      <c r="F270" s="1370"/>
      <c r="G270" s="1371"/>
      <c r="H270" s="781"/>
      <c r="I270" s="1133"/>
      <c r="K270" s="808">
        <f>21*3*2</f>
        <v>126</v>
      </c>
    </row>
    <row r="271" spans="1:14" ht="15.6">
      <c r="A271" s="790">
        <v>1</v>
      </c>
      <c r="B271" s="820" t="s">
        <v>2230</v>
      </c>
      <c r="C271" s="1391"/>
      <c r="D271" s="779">
        <v>3</v>
      </c>
      <c r="E271" s="780" t="s">
        <v>1878</v>
      </c>
      <c r="F271" s="780" t="s">
        <v>373</v>
      </c>
      <c r="G271" s="788">
        <v>135000</v>
      </c>
      <c r="H271" s="788">
        <f>G271*D271</f>
        <v>405000</v>
      </c>
      <c r="I271" s="789"/>
    </row>
    <row r="272" spans="1:14" ht="15.6">
      <c r="A272" s="790">
        <f>A271+1</f>
        <v>2</v>
      </c>
      <c r="B272" s="820" t="s">
        <v>2273</v>
      </c>
      <c r="C272" s="1391"/>
      <c r="D272" s="779">
        <v>3</v>
      </c>
      <c r="E272" s="780" t="s">
        <v>2274</v>
      </c>
      <c r="F272" s="780" t="s">
        <v>373</v>
      </c>
      <c r="G272" s="788">
        <v>90000</v>
      </c>
      <c r="H272" s="788">
        <f>G272*D272</f>
        <v>270000</v>
      </c>
      <c r="I272" s="789"/>
    </row>
    <row r="273" spans="1:9" s="808" customFormat="1" ht="15.6">
      <c r="A273" s="790">
        <f t="shared" ref="A273:A275" si="7">+A272+1</f>
        <v>3</v>
      </c>
      <c r="B273" s="1419" t="s">
        <v>2291</v>
      </c>
      <c r="C273" s="1391"/>
      <c r="D273" s="1415" t="s">
        <v>126</v>
      </c>
      <c r="E273" s="1416" t="s">
        <v>126</v>
      </c>
      <c r="F273" s="780" t="s">
        <v>51</v>
      </c>
      <c r="G273" s="788">
        <v>150000</v>
      </c>
      <c r="H273" s="788">
        <f>+G273</f>
        <v>150000</v>
      </c>
      <c r="I273" s="789"/>
    </row>
    <row r="274" spans="1:9" s="808" customFormat="1" ht="15.6">
      <c r="A274" s="790">
        <f t="shared" si="7"/>
        <v>4</v>
      </c>
      <c r="B274" s="1419" t="s">
        <v>2292</v>
      </c>
      <c r="C274" s="1391"/>
      <c r="D274" s="997">
        <v>1</v>
      </c>
      <c r="E274" s="780" t="s">
        <v>2295</v>
      </c>
      <c r="F274" s="780" t="s">
        <v>16</v>
      </c>
      <c r="G274" s="788">
        <v>197000</v>
      </c>
      <c r="H274" s="788">
        <f>G274*D274</f>
        <v>197000</v>
      </c>
      <c r="I274" s="789"/>
    </row>
    <row r="275" spans="1:9" s="808" customFormat="1" ht="15.6">
      <c r="A275" s="790">
        <f t="shared" si="7"/>
        <v>5</v>
      </c>
      <c r="B275" s="1420" t="s">
        <v>2296</v>
      </c>
      <c r="C275" s="1142"/>
      <c r="D275" s="779">
        <v>1</v>
      </c>
      <c r="E275" s="764" t="s">
        <v>138</v>
      </c>
      <c r="F275" s="15" t="s">
        <v>16</v>
      </c>
      <c r="G275" s="1146">
        <v>55000</v>
      </c>
      <c r="H275" s="1146">
        <f>G275*D275</f>
        <v>55000</v>
      </c>
      <c r="I275" s="25"/>
    </row>
    <row r="276" spans="1:9" s="808" customFormat="1" ht="15.6">
      <c r="A276" s="790"/>
      <c r="B276" s="1394"/>
      <c r="C276" s="1392"/>
      <c r="D276" s="791"/>
      <c r="E276" s="780"/>
      <c r="F276" s="780"/>
      <c r="G276" s="788"/>
      <c r="H276" s="788"/>
      <c r="I276" s="807">
        <f>SUM(H271:H275)</f>
        <v>1077000</v>
      </c>
    </row>
    <row r="277" spans="1:9" s="808" customFormat="1" ht="15.6">
      <c r="A277" s="793"/>
      <c r="B277" s="783"/>
      <c r="C277" s="783"/>
      <c r="D277" s="1410"/>
      <c r="E277" s="795"/>
      <c r="F277" s="811"/>
      <c r="G277" s="811" t="s">
        <v>25</v>
      </c>
      <c r="H277" s="813"/>
      <c r="I277" s="810">
        <f>SUM(I249:I276)</f>
        <v>5045220.4359999998</v>
      </c>
    </row>
    <row r="278" spans="1:9" s="808" customFormat="1" ht="15.6">
      <c r="A278" s="796"/>
      <c r="B278" s="797"/>
      <c r="C278" s="797"/>
      <c r="D278" s="784"/>
      <c r="E278" s="784"/>
      <c r="F278" s="785"/>
      <c r="G278" s="812"/>
      <c r="H278" s="798"/>
      <c r="I278" s="826"/>
    </row>
    <row r="279" spans="1:9" ht="15.6">
      <c r="A279" s="799"/>
      <c r="B279" s="800" t="s">
        <v>549</v>
      </c>
      <c r="C279" s="800"/>
      <c r="D279" s="1411"/>
      <c r="E279" s="800"/>
      <c r="F279" s="800"/>
      <c r="G279" s="801"/>
      <c r="H279" s="828" t="s">
        <v>28</v>
      </c>
      <c r="I279" s="775">
        <f>I277</f>
        <v>5045220.4359999998</v>
      </c>
    </row>
    <row r="280" spans="1:9" ht="15.6">
      <c r="A280" s="802"/>
      <c r="B280" s="1398" t="s">
        <v>2313</v>
      </c>
      <c r="C280" s="803"/>
      <c r="D280" s="1412"/>
      <c r="E280" s="804"/>
      <c r="F280" s="804"/>
      <c r="G280" s="805"/>
      <c r="H280" s="829" t="s">
        <v>30</v>
      </c>
      <c r="I280" s="807">
        <f>ROUND(I279,-3)</f>
        <v>5045000</v>
      </c>
    </row>
    <row r="281" spans="1:9" ht="15.6">
      <c r="A281" s="49"/>
      <c r="B281" s="49"/>
      <c r="C281" s="49"/>
      <c r="D281" s="823"/>
      <c r="E281" s="49"/>
      <c r="F281" s="49"/>
      <c r="G281" s="49"/>
      <c r="H281" s="49"/>
      <c r="I281" s="50"/>
    </row>
    <row r="282" spans="1:9" ht="15.6">
      <c r="A282" s="51"/>
      <c r="B282" s="51"/>
      <c r="C282" s="51"/>
      <c r="D282" s="1399"/>
      <c r="E282" s="51"/>
      <c r="F282" s="51"/>
      <c r="G282" s="51"/>
      <c r="H282" s="1509" t="s">
        <v>2300</v>
      </c>
      <c r="I282" s="1509"/>
    </row>
    <row r="283" spans="1:9" ht="15.6">
      <c r="A283" s="1509" t="s">
        <v>234</v>
      </c>
      <c r="B283" s="1509"/>
      <c r="C283" s="1509"/>
      <c r="D283" s="1509" t="s">
        <v>32</v>
      </c>
      <c r="E283" s="1509"/>
      <c r="F283" s="1509"/>
      <c r="G283" s="1509"/>
      <c r="H283" s="1509" t="s">
        <v>33</v>
      </c>
      <c r="I283" s="1509"/>
    </row>
    <row r="284" spans="1:9" ht="15.6">
      <c r="A284" s="51"/>
      <c r="B284" s="51"/>
      <c r="C284" s="51"/>
      <c r="D284" s="1399"/>
      <c r="E284" s="51"/>
      <c r="F284" s="51"/>
      <c r="G284" s="51"/>
      <c r="H284" s="51"/>
      <c r="I284" s="51"/>
    </row>
    <row r="285" spans="1:9" ht="15.6">
      <c r="A285" s="51"/>
      <c r="B285" s="51"/>
      <c r="C285" s="51"/>
      <c r="D285" s="1399"/>
      <c r="E285" s="51"/>
      <c r="F285" s="51"/>
      <c r="G285" s="51"/>
      <c r="H285" s="51"/>
      <c r="I285" s="51"/>
    </row>
    <row r="286" spans="1:9" ht="15.6">
      <c r="A286" s="51"/>
      <c r="B286" s="51"/>
      <c r="C286" s="51"/>
      <c r="D286" s="1399"/>
      <c r="E286" s="51"/>
      <c r="F286" s="51"/>
      <c r="G286" s="51"/>
      <c r="H286" s="51"/>
      <c r="I286" s="51"/>
    </row>
    <row r="287" spans="1:9" ht="15.6">
      <c r="A287" s="1512" t="s">
        <v>2256</v>
      </c>
      <c r="B287" s="1512"/>
      <c r="C287" s="1512"/>
      <c r="D287" s="1512" t="s">
        <v>2309</v>
      </c>
      <c r="E287" s="1512"/>
      <c r="F287" s="1512"/>
      <c r="G287" s="1512"/>
      <c r="H287" s="1512" t="s">
        <v>2257</v>
      </c>
      <c r="I287" s="1512"/>
    </row>
    <row r="288" spans="1:9" ht="15.6">
      <c r="A288" s="1509" t="s">
        <v>2247</v>
      </c>
      <c r="B288" s="1509"/>
      <c r="C288" s="1509"/>
      <c r="D288" s="1509" t="s">
        <v>2235</v>
      </c>
      <c r="E288" s="1509"/>
      <c r="F288" s="1509"/>
      <c r="G288" s="1509"/>
      <c r="H288" s="1509" t="s">
        <v>39</v>
      </c>
      <c r="I288" s="1509"/>
    </row>
    <row r="289" spans="1:14" ht="15.6">
      <c r="A289" s="808"/>
      <c r="B289" s="808"/>
      <c r="C289" s="808"/>
      <c r="D289" s="1413"/>
      <c r="E289" s="808"/>
      <c r="F289" s="808"/>
      <c r="G289" s="808"/>
      <c r="H289" s="808"/>
      <c r="I289" s="808"/>
    </row>
    <row r="291" spans="1:14" ht="28.8">
      <c r="A291" s="1513" t="s">
        <v>1705</v>
      </c>
      <c r="B291" s="1513"/>
      <c r="C291" s="1513"/>
      <c r="D291" s="1513"/>
      <c r="E291" s="1513"/>
      <c r="F291" s="1513"/>
      <c r="G291" s="1513"/>
      <c r="H291" s="1513"/>
      <c r="I291" s="1513"/>
    </row>
    <row r="292" spans="1:14" s="1141" customFormat="1" ht="24.75" customHeight="1">
      <c r="A292" s="830" t="s">
        <v>2278</v>
      </c>
      <c r="C292" s="1514" t="s">
        <v>2310</v>
      </c>
      <c r="D292" s="1514"/>
      <c r="E292" s="1514"/>
      <c r="F292" s="1514"/>
      <c r="G292" s="1514"/>
      <c r="H292" s="1514"/>
      <c r="I292" s="1514"/>
    </row>
    <row r="293" spans="1:14" s="1141" customFormat="1" ht="21">
      <c r="A293" s="830" t="s">
        <v>1208</v>
      </c>
      <c r="C293" s="1515" t="s">
        <v>2303</v>
      </c>
      <c r="D293" s="1515"/>
      <c r="E293" s="1515"/>
      <c r="F293" s="1515"/>
      <c r="G293" s="1515"/>
      <c r="H293" s="1515"/>
      <c r="I293" s="1515"/>
    </row>
    <row r="294" spans="1:14" ht="15.6">
      <c r="A294" s="1403"/>
      <c r="B294" s="1403"/>
      <c r="C294" s="1403"/>
      <c r="D294" s="1403"/>
      <c r="E294" s="1403"/>
      <c r="F294" s="1403"/>
      <c r="G294" s="1403"/>
      <c r="H294" s="1403"/>
      <c r="I294" s="1403"/>
    </row>
    <row r="295" spans="1:14" ht="15.6">
      <c r="A295" s="1516" t="s">
        <v>3</v>
      </c>
      <c r="B295" s="1518" t="s">
        <v>4</v>
      </c>
      <c r="C295" s="1519"/>
      <c r="D295" s="1516" t="s">
        <v>5</v>
      </c>
      <c r="E295" s="1516" t="s">
        <v>6</v>
      </c>
      <c r="F295" s="1516" t="s">
        <v>7</v>
      </c>
      <c r="G295" s="770" t="s">
        <v>8</v>
      </c>
      <c r="H295" s="770" t="s">
        <v>9</v>
      </c>
      <c r="I295" s="770" t="s">
        <v>10</v>
      </c>
    </row>
    <row r="296" spans="1:14" ht="15.6">
      <c r="A296" s="1517"/>
      <c r="B296" s="1520"/>
      <c r="C296" s="1521"/>
      <c r="D296" s="1517"/>
      <c r="E296" s="1517"/>
      <c r="F296" s="1517"/>
      <c r="G296" s="771" t="s">
        <v>11</v>
      </c>
      <c r="H296" s="771" t="s">
        <v>11</v>
      </c>
      <c r="I296" s="771" t="s">
        <v>11</v>
      </c>
    </row>
    <row r="297" spans="1:14" ht="15.6">
      <c r="A297" s="770" t="s">
        <v>12</v>
      </c>
      <c r="B297" s="1393" t="s">
        <v>364</v>
      </c>
      <c r="C297" s="1390"/>
      <c r="D297" s="1369"/>
      <c r="E297" s="774"/>
      <c r="F297" s="774"/>
      <c r="G297" s="774"/>
      <c r="H297" s="775"/>
      <c r="I297" s="776"/>
    </row>
    <row r="298" spans="1:14" s="1378" customFormat="1" ht="50.25" customHeight="1">
      <c r="A298" s="1374">
        <v>1</v>
      </c>
      <c r="B298" s="1510" t="s">
        <v>2304</v>
      </c>
      <c r="C298" s="1511"/>
      <c r="D298" s="1375">
        <v>4</v>
      </c>
      <c r="E298" s="1374" t="s">
        <v>334</v>
      </c>
      <c r="F298" s="1374" t="s">
        <v>16</v>
      </c>
      <c r="G298" s="1376">
        <f>1131000+50000</f>
        <v>1181000</v>
      </c>
      <c r="H298" s="1376">
        <f>+G298*D298</f>
        <v>4724000</v>
      </c>
      <c r="I298" s="1377"/>
      <c r="J298" s="1378">
        <f>(255000*4)+(870000*2)</f>
        <v>2760000</v>
      </c>
      <c r="K298" s="1378">
        <f>+H298-J298</f>
        <v>1964000</v>
      </c>
      <c r="M298" s="1378">
        <f>280000/6</f>
        <v>46666.666666666664</v>
      </c>
      <c r="N298" s="1378">
        <f>15*2.5</f>
        <v>37.5</v>
      </c>
    </row>
    <row r="299" spans="1:14" s="1397" customFormat="1" ht="26.25" customHeight="1">
      <c r="A299" s="1374">
        <f>+A298+1</f>
        <v>2</v>
      </c>
      <c r="B299" s="1510" t="s">
        <v>2302</v>
      </c>
      <c r="C299" s="1511"/>
      <c r="D299" s="1375">
        <f>+D298</f>
        <v>4</v>
      </c>
      <c r="E299" s="1374" t="s">
        <v>893</v>
      </c>
      <c r="F299" s="1374" t="s">
        <v>16</v>
      </c>
      <c r="G299" s="1395">
        <f>150000+20000</f>
        <v>170000</v>
      </c>
      <c r="H299" s="1395">
        <f>+G299*D299</f>
        <v>680000</v>
      </c>
      <c r="I299" s="1396"/>
      <c r="J299" s="1397">
        <f>95000*4</f>
        <v>380000</v>
      </c>
      <c r="K299" s="1378">
        <f t="shared" ref="K299:K302" si="8">+H299-J299</f>
        <v>300000</v>
      </c>
    </row>
    <row r="300" spans="1:14" s="1397" customFormat="1" ht="26.25" customHeight="1">
      <c r="A300" s="1374">
        <f t="shared" ref="A300:A301" si="9">+A299+1</f>
        <v>3</v>
      </c>
      <c r="B300" s="1510" t="s">
        <v>2373</v>
      </c>
      <c r="C300" s="1511"/>
      <c r="D300" s="1375">
        <v>2</v>
      </c>
      <c r="E300" s="1374" t="s">
        <v>144</v>
      </c>
      <c r="F300" s="1374" t="s">
        <v>16</v>
      </c>
      <c r="G300" s="1395">
        <f>460000+40000</f>
        <v>500000</v>
      </c>
      <c r="H300" s="1395">
        <f>+G300*D300</f>
        <v>1000000</v>
      </c>
      <c r="I300" s="1396"/>
      <c r="K300" s="1378">
        <f t="shared" si="8"/>
        <v>1000000</v>
      </c>
    </row>
    <row r="301" spans="1:14" ht="15.6">
      <c r="A301" s="1374">
        <f t="shared" si="9"/>
        <v>4</v>
      </c>
      <c r="B301" s="820" t="s">
        <v>2301</v>
      </c>
      <c r="C301" s="1391"/>
      <c r="D301" s="779">
        <f>+D299</f>
        <v>4</v>
      </c>
      <c r="E301" s="780" t="s">
        <v>1870</v>
      </c>
      <c r="F301" s="780" t="s">
        <v>16</v>
      </c>
      <c r="G301" s="791">
        <v>65000</v>
      </c>
      <c r="H301" s="791">
        <f t="shared" ref="H301" si="10">+G301*D301</f>
        <v>260000</v>
      </c>
      <c r="I301" s="971"/>
      <c r="J301" s="1">
        <f>30000*4</f>
        <v>120000</v>
      </c>
      <c r="K301" s="1378">
        <f t="shared" si="8"/>
        <v>140000</v>
      </c>
    </row>
    <row r="302" spans="1:14" ht="15.6">
      <c r="A302" s="1374">
        <f t="shared" ref="A302" si="11">+A301+1</f>
        <v>5</v>
      </c>
      <c r="B302" s="820" t="s">
        <v>2308</v>
      </c>
      <c r="C302" s="1391"/>
      <c r="D302" s="1389">
        <v>1</v>
      </c>
      <c r="E302" s="780"/>
      <c r="F302" s="780" t="s">
        <v>51</v>
      </c>
      <c r="G302" s="791">
        <v>200000</v>
      </c>
      <c r="H302" s="791">
        <f t="shared" ref="H302" si="12">+G302*D302</f>
        <v>200000</v>
      </c>
      <c r="I302" s="971"/>
      <c r="J302" s="1">
        <v>500000</v>
      </c>
      <c r="K302" s="1378">
        <f t="shared" si="8"/>
        <v>-300000</v>
      </c>
    </row>
    <row r="303" spans="1:14" ht="15.6">
      <c r="A303" s="814"/>
      <c r="B303" s="820"/>
      <c r="C303" s="1391"/>
      <c r="D303" s="782"/>
      <c r="E303" s="780"/>
      <c r="F303" s="780"/>
      <c r="G303" s="781"/>
      <c r="H303" s="817"/>
      <c r="I303" s="818">
        <f>SUM(H298:H303)</f>
        <v>6864000</v>
      </c>
      <c r="K303" s="1378">
        <f>SUM(K298:K302)</f>
        <v>3104000</v>
      </c>
    </row>
    <row r="304" spans="1:14" ht="15.6">
      <c r="A304" s="786" t="s">
        <v>18</v>
      </c>
      <c r="B304" s="1393" t="s">
        <v>19</v>
      </c>
      <c r="C304" s="1390"/>
      <c r="D304" s="1369"/>
      <c r="E304" s="1370"/>
      <c r="F304" s="1370"/>
      <c r="G304" s="1371"/>
      <c r="H304" s="781"/>
      <c r="I304" s="1133"/>
      <c r="K304" s="1378"/>
    </row>
    <row r="305" spans="1:9" ht="15.6">
      <c r="A305" s="790">
        <v>1</v>
      </c>
      <c r="B305" s="820" t="s">
        <v>2374</v>
      </c>
      <c r="C305" s="1391"/>
      <c r="D305" s="779">
        <v>2</v>
      </c>
      <c r="E305" s="780" t="s">
        <v>373</v>
      </c>
      <c r="F305" s="780" t="s">
        <v>51</v>
      </c>
      <c r="G305" s="788">
        <v>135000</v>
      </c>
      <c r="H305" s="788">
        <f>G305*D305</f>
        <v>270000</v>
      </c>
      <c r="I305" s="789"/>
    </row>
    <row r="306" spans="1:9" ht="15.6">
      <c r="A306" s="790">
        <f>A305+1</f>
        <v>2</v>
      </c>
      <c r="B306" s="820" t="s">
        <v>2375</v>
      </c>
      <c r="C306" s="1391"/>
      <c r="D306" s="779">
        <v>4</v>
      </c>
      <c r="E306" s="780" t="s">
        <v>373</v>
      </c>
      <c r="F306" s="780" t="s">
        <v>51</v>
      </c>
      <c r="G306" s="788">
        <v>90000</v>
      </c>
      <c r="H306" s="788">
        <f>G306*D306</f>
        <v>360000</v>
      </c>
      <c r="I306" s="789"/>
    </row>
    <row r="307" spans="1:9" ht="15.6">
      <c r="A307" s="790"/>
      <c r="B307" s="1394"/>
      <c r="C307" s="1392"/>
      <c r="D307" s="791"/>
      <c r="E307" s="780"/>
      <c r="F307" s="780"/>
      <c r="G307" s="788"/>
      <c r="H307" s="788"/>
      <c r="I307" s="807">
        <f>SUM(H305:H306)</f>
        <v>630000</v>
      </c>
    </row>
    <row r="308" spans="1:9" ht="15.6">
      <c r="A308" s="793"/>
      <c r="B308" s="783"/>
      <c r="C308" s="783"/>
      <c r="D308" s="1410"/>
      <c r="E308" s="795"/>
      <c r="F308" s="811"/>
      <c r="G308" s="811" t="s">
        <v>25</v>
      </c>
      <c r="H308" s="813"/>
      <c r="I308" s="810">
        <f>I303+I307</f>
        <v>7494000</v>
      </c>
    </row>
    <row r="309" spans="1:9" ht="15.6">
      <c r="A309" s="796"/>
      <c r="B309" s="797"/>
      <c r="C309" s="797"/>
      <c r="D309" s="784"/>
      <c r="E309" s="784"/>
      <c r="F309" s="785"/>
      <c r="G309" s="812"/>
      <c r="H309" s="798"/>
      <c r="I309" s="826"/>
    </row>
    <row r="310" spans="1:9" ht="15.6">
      <c r="A310" s="799"/>
      <c r="B310" s="800" t="s">
        <v>549</v>
      </c>
      <c r="C310" s="800"/>
      <c r="D310" s="1411"/>
      <c r="E310" s="800"/>
      <c r="F310" s="800"/>
      <c r="G310" s="801"/>
      <c r="H310" s="828" t="s">
        <v>28</v>
      </c>
      <c r="I310" s="775">
        <f>I308</f>
        <v>7494000</v>
      </c>
    </row>
    <row r="311" spans="1:9" ht="15.6">
      <c r="A311" s="802"/>
      <c r="B311" s="1398" t="s">
        <v>2376</v>
      </c>
      <c r="C311" s="803"/>
      <c r="D311" s="1412"/>
      <c r="E311" s="804"/>
      <c r="F311" s="804"/>
      <c r="G311" s="805"/>
      <c r="H311" s="829" t="s">
        <v>30</v>
      </c>
      <c r="I311" s="807">
        <f>ROUND(I310,-3)</f>
        <v>7494000</v>
      </c>
    </row>
    <row r="312" spans="1:9" ht="15.6">
      <c r="A312" s="49"/>
      <c r="B312" s="49"/>
      <c r="C312" s="49"/>
      <c r="D312" s="823"/>
      <c r="E312" s="49"/>
      <c r="F312" s="49"/>
      <c r="G312" s="49"/>
      <c r="H312" s="49"/>
      <c r="I312" s="50"/>
    </row>
    <row r="313" spans="1:9" ht="15.6">
      <c r="A313" s="51"/>
      <c r="B313" s="51"/>
      <c r="C313" s="51"/>
      <c r="D313" s="1399"/>
      <c r="E313" s="51"/>
      <c r="F313" s="51"/>
      <c r="G313" s="51"/>
      <c r="H313" s="1509" t="s">
        <v>2300</v>
      </c>
      <c r="I313" s="1509"/>
    </row>
    <row r="314" spans="1:9" ht="15.6">
      <c r="A314" s="1509" t="s">
        <v>234</v>
      </c>
      <c r="B314" s="1509"/>
      <c r="C314" s="1509"/>
      <c r="D314" s="1509" t="s">
        <v>32</v>
      </c>
      <c r="E314" s="1509"/>
      <c r="F314" s="1509"/>
      <c r="G314" s="1509"/>
      <c r="H314" s="1509" t="s">
        <v>33</v>
      </c>
      <c r="I314" s="1509"/>
    </row>
    <row r="315" spans="1:9" ht="15.6">
      <c r="A315" s="51"/>
      <c r="B315" s="51"/>
      <c r="C315" s="51"/>
      <c r="D315" s="1399"/>
      <c r="E315" s="51"/>
      <c r="F315" s="51"/>
      <c r="G315" s="51"/>
      <c r="H315" s="51"/>
      <c r="I315" s="51"/>
    </row>
    <row r="316" spans="1:9" ht="15.6">
      <c r="A316" s="51"/>
      <c r="B316" s="51"/>
      <c r="C316" s="51"/>
      <c r="D316" s="1399"/>
      <c r="E316" s="51"/>
      <c r="F316" s="51"/>
      <c r="G316" s="51"/>
      <c r="H316" s="51"/>
      <c r="I316" s="51"/>
    </row>
    <row r="317" spans="1:9" ht="15.6">
      <c r="A317" s="51"/>
      <c r="B317" s="51"/>
      <c r="C317" s="51"/>
      <c r="D317" s="1399"/>
      <c r="E317" s="51"/>
      <c r="F317" s="51"/>
      <c r="G317" s="51"/>
      <c r="H317" s="51"/>
      <c r="I317" s="51"/>
    </row>
    <row r="318" spans="1:9" ht="15.6">
      <c r="A318" s="1512" t="s">
        <v>2256</v>
      </c>
      <c r="B318" s="1512"/>
      <c r="C318" s="1512"/>
      <c r="D318" s="1512" t="s">
        <v>2309</v>
      </c>
      <c r="E318" s="1512"/>
      <c r="F318" s="1512"/>
      <c r="G318" s="1512"/>
      <c r="H318" s="1512" t="s">
        <v>2257</v>
      </c>
      <c r="I318" s="1512"/>
    </row>
    <row r="319" spans="1:9" ht="15.6">
      <c r="A319" s="1509" t="s">
        <v>2247</v>
      </c>
      <c r="B319" s="1509"/>
      <c r="C319" s="1509"/>
      <c r="D319" s="1509" t="s">
        <v>2235</v>
      </c>
      <c r="E319" s="1509"/>
      <c r="F319" s="1509"/>
      <c r="G319" s="1509"/>
      <c r="H319" s="1509" t="s">
        <v>39</v>
      </c>
      <c r="I319" s="1509"/>
    </row>
    <row r="324" spans="1:14" ht="28.8">
      <c r="A324" s="1513" t="s">
        <v>1705</v>
      </c>
      <c r="B324" s="1513"/>
      <c r="C324" s="1513"/>
      <c r="D324" s="1513"/>
      <c r="E324" s="1513"/>
      <c r="F324" s="1513"/>
      <c r="G324" s="1513"/>
      <c r="H324" s="1513"/>
      <c r="I324" s="1513"/>
    </row>
    <row r="325" spans="1:14" s="1141" customFormat="1" ht="24.75" customHeight="1">
      <c r="A325" s="830" t="s">
        <v>2278</v>
      </c>
      <c r="C325" s="1514" t="s">
        <v>2360</v>
      </c>
      <c r="D325" s="1514"/>
      <c r="E325" s="1514"/>
      <c r="F325" s="1514"/>
      <c r="G325" s="1514"/>
      <c r="H325" s="1514"/>
      <c r="I325" s="1514"/>
    </row>
    <row r="326" spans="1:14" s="1141" customFormat="1" ht="21">
      <c r="A326" s="830" t="s">
        <v>1208</v>
      </c>
      <c r="C326" s="1515" t="s">
        <v>2361</v>
      </c>
      <c r="D326" s="1515"/>
      <c r="E326" s="1515"/>
      <c r="F326" s="1515"/>
      <c r="G326" s="1515"/>
      <c r="H326" s="1515"/>
      <c r="I326" s="1515"/>
    </row>
    <row r="327" spans="1:14" ht="15.6">
      <c r="A327" s="1429"/>
      <c r="B327" s="1429"/>
      <c r="C327" s="1429"/>
      <c r="D327" s="1429"/>
      <c r="E327" s="1429"/>
      <c r="F327" s="1429"/>
      <c r="G327" s="1429"/>
      <c r="H327" s="1429"/>
      <c r="I327" s="1429"/>
    </row>
    <row r="328" spans="1:14" ht="15.6">
      <c r="A328" s="1516" t="s">
        <v>3</v>
      </c>
      <c r="B328" s="1518" t="s">
        <v>4</v>
      </c>
      <c r="C328" s="1519"/>
      <c r="D328" s="1516" t="s">
        <v>5</v>
      </c>
      <c r="E328" s="1516" t="s">
        <v>6</v>
      </c>
      <c r="F328" s="1516" t="s">
        <v>7</v>
      </c>
      <c r="G328" s="770" t="s">
        <v>8</v>
      </c>
      <c r="H328" s="770" t="s">
        <v>9</v>
      </c>
      <c r="I328" s="770" t="s">
        <v>10</v>
      </c>
    </row>
    <row r="329" spans="1:14" ht="15.6">
      <c r="A329" s="1517"/>
      <c r="B329" s="1520"/>
      <c r="C329" s="1521"/>
      <c r="D329" s="1517"/>
      <c r="E329" s="1517"/>
      <c r="F329" s="1517"/>
      <c r="G329" s="771" t="s">
        <v>11</v>
      </c>
      <c r="H329" s="771" t="s">
        <v>11</v>
      </c>
      <c r="I329" s="771" t="s">
        <v>11</v>
      </c>
    </row>
    <row r="330" spans="1:14" ht="15.6">
      <c r="A330" s="770" t="s">
        <v>12</v>
      </c>
      <c r="B330" s="1393" t="s">
        <v>364</v>
      </c>
      <c r="C330" s="1390"/>
      <c r="D330" s="1369"/>
      <c r="E330" s="774"/>
      <c r="F330" s="774"/>
      <c r="G330" s="774"/>
      <c r="H330" s="775"/>
      <c r="I330" s="776"/>
    </row>
    <row r="331" spans="1:14" s="1378" customFormat="1" ht="37.5" customHeight="1">
      <c r="A331" s="1374">
        <v>1</v>
      </c>
      <c r="B331" s="1510" t="s">
        <v>2362</v>
      </c>
      <c r="C331" s="1511"/>
      <c r="D331" s="1375">
        <v>2</v>
      </c>
      <c r="E331" s="1374" t="s">
        <v>403</v>
      </c>
      <c r="F331" s="1374" t="s">
        <v>16</v>
      </c>
      <c r="G331" s="1376">
        <v>2150000</v>
      </c>
      <c r="H331" s="1376">
        <f>+G331*D331</f>
        <v>4300000</v>
      </c>
      <c r="I331" s="1377"/>
      <c r="M331" s="1378">
        <f>280000/6</f>
        <v>46666.666666666664</v>
      </c>
      <c r="N331" s="1378">
        <f>15*2.5</f>
        <v>37.5</v>
      </c>
    </row>
    <row r="332" spans="1:14" s="1397" customFormat="1" ht="18.75" customHeight="1">
      <c r="A332" s="1374">
        <f>+A331+1</f>
        <v>2</v>
      </c>
      <c r="B332" s="1510" t="s">
        <v>2363</v>
      </c>
      <c r="C332" s="1511"/>
      <c r="D332" s="1375">
        <f>+D331</f>
        <v>2</v>
      </c>
      <c r="E332" s="1374" t="s">
        <v>1870</v>
      </c>
      <c r="F332" s="1374" t="s">
        <v>82</v>
      </c>
      <c r="G332" s="1395">
        <v>37000</v>
      </c>
      <c r="H332" s="1395">
        <f>+G332*D332</f>
        <v>74000</v>
      </c>
      <c r="I332" s="1396"/>
    </row>
    <row r="333" spans="1:14" s="1397" customFormat="1" ht="19.5" customHeight="1">
      <c r="A333" s="1374">
        <f t="shared" ref="A333:A335" si="13">+A332+1</f>
        <v>3</v>
      </c>
      <c r="B333" s="1510" t="s">
        <v>2364</v>
      </c>
      <c r="C333" s="1511"/>
      <c r="D333" s="1375">
        <v>2</v>
      </c>
      <c r="E333" s="1374" t="s">
        <v>403</v>
      </c>
      <c r="F333" s="1374" t="s">
        <v>82</v>
      </c>
      <c r="G333" s="1395">
        <v>18000</v>
      </c>
      <c r="H333" s="1395">
        <f>+G333*D333</f>
        <v>36000</v>
      </c>
      <c r="I333" s="1396"/>
    </row>
    <row r="334" spans="1:14" ht="15.6">
      <c r="A334" s="1374">
        <f t="shared" si="13"/>
        <v>4</v>
      </c>
      <c r="B334" s="820" t="s">
        <v>2365</v>
      </c>
      <c r="C334" s="1391"/>
      <c r="D334" s="779">
        <v>4</v>
      </c>
      <c r="E334" s="780" t="s">
        <v>179</v>
      </c>
      <c r="F334" s="780" t="s">
        <v>82</v>
      </c>
      <c r="G334" s="791">
        <v>3025</v>
      </c>
      <c r="H334" s="791">
        <f t="shared" ref="H334" si="14">+G334*D334</f>
        <v>12100</v>
      </c>
      <c r="I334" s="971"/>
      <c r="K334" s="1">
        <f>24*3*2</f>
        <v>144</v>
      </c>
    </row>
    <row r="335" spans="1:14" ht="15.6">
      <c r="A335" s="1374">
        <f t="shared" si="13"/>
        <v>5</v>
      </c>
      <c r="B335" s="778" t="s">
        <v>2366</v>
      </c>
      <c r="C335" s="1391"/>
      <c r="D335" s="779">
        <v>8</v>
      </c>
      <c r="E335" s="780" t="s">
        <v>1374</v>
      </c>
      <c r="F335" s="780" t="s">
        <v>82</v>
      </c>
      <c r="G335" s="791">
        <v>8000</v>
      </c>
      <c r="H335" s="791">
        <f t="shared" ref="H335" si="15">+G335*D335</f>
        <v>64000</v>
      </c>
      <c r="I335" s="971"/>
      <c r="K335" s="1">
        <f>24*3*2</f>
        <v>144</v>
      </c>
    </row>
    <row r="336" spans="1:14" ht="15.6">
      <c r="A336" s="814"/>
      <c r="B336" s="820"/>
      <c r="C336" s="1391"/>
      <c r="D336" s="782"/>
      <c r="E336" s="780"/>
      <c r="F336" s="780"/>
      <c r="G336" s="781"/>
      <c r="H336" s="817"/>
      <c r="I336" s="818">
        <f>SUM(H331:H336)</f>
        <v>4486100</v>
      </c>
    </row>
    <row r="337" spans="1:11" ht="15.6">
      <c r="A337" s="786" t="s">
        <v>18</v>
      </c>
      <c r="B337" s="1393" t="s">
        <v>19</v>
      </c>
      <c r="C337" s="1390"/>
      <c r="D337" s="1369"/>
      <c r="E337" s="1370"/>
      <c r="F337" s="1370"/>
      <c r="G337" s="1371"/>
      <c r="H337" s="781"/>
      <c r="I337" s="1133"/>
      <c r="K337" s="1">
        <f>21*3*2</f>
        <v>126</v>
      </c>
    </row>
    <row r="338" spans="1:11" ht="15.6">
      <c r="A338" s="790">
        <v>1</v>
      </c>
      <c r="B338" s="820" t="s">
        <v>2230</v>
      </c>
      <c r="C338" s="1391"/>
      <c r="D338" s="779">
        <v>2</v>
      </c>
      <c r="E338" s="780" t="s">
        <v>1878</v>
      </c>
      <c r="F338" s="780" t="s">
        <v>373</v>
      </c>
      <c r="G338" s="788">
        <v>135000</v>
      </c>
      <c r="H338" s="788">
        <f>G338*D338</f>
        <v>270000</v>
      </c>
      <c r="I338" s="789"/>
    </row>
    <row r="339" spans="1:11" ht="15.6">
      <c r="A339" s="790">
        <f>A338+1</f>
        <v>2</v>
      </c>
      <c r="B339" s="820" t="s">
        <v>2273</v>
      </c>
      <c r="C339" s="1391"/>
      <c r="D339" s="779">
        <v>2</v>
      </c>
      <c r="E339" s="780" t="s">
        <v>2274</v>
      </c>
      <c r="F339" s="780" t="s">
        <v>373</v>
      </c>
      <c r="G339" s="788">
        <v>90000</v>
      </c>
      <c r="H339" s="788">
        <f>G339*D339</f>
        <v>180000</v>
      </c>
      <c r="I339" s="789"/>
    </row>
    <row r="340" spans="1:11" ht="15.6">
      <c r="A340" s="790"/>
      <c r="B340" s="1394"/>
      <c r="C340" s="1392"/>
      <c r="D340" s="791"/>
      <c r="E340" s="780"/>
      <c r="F340" s="780"/>
      <c r="G340" s="788"/>
      <c r="H340" s="788"/>
      <c r="I340" s="807">
        <f>SUM(H338:H339)</f>
        <v>450000</v>
      </c>
    </row>
    <row r="341" spans="1:11" ht="15.6">
      <c r="A341" s="793"/>
      <c r="B341" s="783"/>
      <c r="C341" s="783"/>
      <c r="D341" s="1410"/>
      <c r="E341" s="795"/>
      <c r="F341" s="811"/>
      <c r="G341" s="811" t="s">
        <v>25</v>
      </c>
      <c r="H341" s="813"/>
      <c r="I341" s="810">
        <f>I336+I340</f>
        <v>4936100</v>
      </c>
    </row>
    <row r="342" spans="1:11" ht="15.6">
      <c r="A342" s="796"/>
      <c r="B342" s="797"/>
      <c r="C342" s="797"/>
      <c r="D342" s="784"/>
      <c r="E342" s="784"/>
      <c r="F342" s="785"/>
      <c r="G342" s="812"/>
      <c r="H342" s="798"/>
      <c r="I342" s="826"/>
    </row>
    <row r="343" spans="1:11" ht="15.6">
      <c r="A343" s="799"/>
      <c r="B343" s="800" t="s">
        <v>549</v>
      </c>
      <c r="C343" s="800"/>
      <c r="D343" s="1411"/>
      <c r="E343" s="800"/>
      <c r="F343" s="800"/>
      <c r="G343" s="801"/>
      <c r="H343" s="828" t="s">
        <v>28</v>
      </c>
      <c r="I343" s="775">
        <f>I341</f>
        <v>4936100</v>
      </c>
    </row>
    <row r="344" spans="1:11" ht="15.6">
      <c r="A344" s="802"/>
      <c r="B344" s="1398" t="s">
        <v>2411</v>
      </c>
      <c r="C344" s="803"/>
      <c r="D344" s="1412"/>
      <c r="E344" s="804"/>
      <c r="F344" s="804"/>
      <c r="G344" s="805"/>
      <c r="H344" s="829" t="s">
        <v>30</v>
      </c>
      <c r="I344" s="807">
        <f>ROUND(I343,-3)</f>
        <v>4936000</v>
      </c>
    </row>
    <row r="345" spans="1:11" ht="15.6">
      <c r="A345" s="49"/>
      <c r="B345" s="49"/>
      <c r="C345" s="49"/>
      <c r="D345" s="823"/>
      <c r="E345" s="49"/>
      <c r="F345" s="49"/>
      <c r="G345" s="49"/>
      <c r="H345" s="49"/>
      <c r="I345" s="50"/>
    </row>
    <row r="346" spans="1:11" ht="15.6">
      <c r="A346" s="51"/>
      <c r="B346" s="51"/>
      <c r="C346" s="51"/>
      <c r="D346" s="1428"/>
      <c r="E346" s="51"/>
      <c r="F346" s="51"/>
      <c r="G346" s="51"/>
      <c r="H346" s="1509" t="s">
        <v>2412</v>
      </c>
      <c r="I346" s="1509"/>
    </row>
    <row r="347" spans="1:11" ht="15.6">
      <c r="A347" s="1509" t="s">
        <v>234</v>
      </c>
      <c r="B347" s="1509"/>
      <c r="C347" s="1509"/>
      <c r="D347" s="1509" t="s">
        <v>32</v>
      </c>
      <c r="E347" s="1509"/>
      <c r="F347" s="1509"/>
      <c r="G347" s="1509"/>
      <c r="H347" s="1509" t="s">
        <v>33</v>
      </c>
      <c r="I347" s="1509"/>
    </row>
    <row r="348" spans="1:11" ht="15.6">
      <c r="A348" s="51"/>
      <c r="B348" s="51"/>
      <c r="C348" s="51"/>
      <c r="D348" s="1428"/>
      <c r="E348" s="51"/>
      <c r="F348" s="51"/>
      <c r="G348" s="51"/>
      <c r="H348" s="51"/>
      <c r="I348" s="51"/>
    </row>
    <row r="349" spans="1:11" ht="15.6">
      <c r="A349" s="51"/>
      <c r="B349" s="51"/>
      <c r="C349" s="51"/>
      <c r="D349" s="1428"/>
      <c r="E349" s="51"/>
      <c r="F349" s="51"/>
      <c r="G349" s="51"/>
      <c r="H349" s="51"/>
      <c r="I349" s="51"/>
    </row>
    <row r="350" spans="1:11" ht="15.6">
      <c r="A350" s="51"/>
      <c r="B350" s="51"/>
      <c r="C350" s="51"/>
      <c r="D350" s="1428"/>
      <c r="E350" s="51"/>
      <c r="F350" s="51"/>
      <c r="G350" s="51"/>
      <c r="H350" s="51"/>
      <c r="I350" s="51"/>
    </row>
    <row r="351" spans="1:11" ht="15.6">
      <c r="A351" s="1512" t="s">
        <v>2256</v>
      </c>
      <c r="B351" s="1512"/>
      <c r="C351" s="1512"/>
      <c r="D351" s="1512" t="s">
        <v>2248</v>
      </c>
      <c r="E351" s="1512"/>
      <c r="F351" s="1512"/>
      <c r="G351" s="1512"/>
      <c r="H351" s="1512" t="s">
        <v>2257</v>
      </c>
      <c r="I351" s="1512"/>
    </row>
    <row r="352" spans="1:11" ht="15.6">
      <c r="A352" s="1509" t="s">
        <v>2247</v>
      </c>
      <c r="B352" s="1509"/>
      <c r="C352" s="1509"/>
      <c r="D352" s="1509" t="s">
        <v>1604</v>
      </c>
      <c r="E352" s="1509"/>
      <c r="F352" s="1509"/>
      <c r="G352" s="1509"/>
      <c r="H352" s="1509" t="s">
        <v>39</v>
      </c>
      <c r="I352" s="1509"/>
    </row>
    <row r="357" spans="1:11" ht="28.8">
      <c r="A357" s="1513" t="s">
        <v>1705</v>
      </c>
      <c r="B357" s="1513"/>
      <c r="C357" s="1513"/>
      <c r="D357" s="1513"/>
      <c r="E357" s="1513"/>
      <c r="F357" s="1513"/>
      <c r="G357" s="1513"/>
      <c r="H357" s="1513"/>
      <c r="I357" s="1513"/>
    </row>
    <row r="358" spans="1:11" ht="21">
      <c r="A358" s="830" t="s">
        <v>2278</v>
      </c>
      <c r="B358" s="1141"/>
      <c r="C358" s="1514" t="s">
        <v>2370</v>
      </c>
      <c r="D358" s="1514"/>
      <c r="E358" s="1514"/>
      <c r="F358" s="1514"/>
      <c r="G358" s="1514"/>
      <c r="H358" s="1514"/>
      <c r="I358" s="1514"/>
    </row>
    <row r="359" spans="1:11" ht="21">
      <c r="A359" s="830" t="s">
        <v>1208</v>
      </c>
      <c r="B359" s="1141"/>
      <c r="C359" s="1515" t="s">
        <v>2371</v>
      </c>
      <c r="D359" s="1515"/>
      <c r="E359" s="1515"/>
      <c r="F359" s="1515"/>
      <c r="G359" s="1515"/>
      <c r="H359" s="1515"/>
      <c r="I359" s="1515"/>
    </row>
    <row r="360" spans="1:11" ht="15.6">
      <c r="A360" s="1454"/>
      <c r="B360" s="1454"/>
      <c r="C360" s="1454"/>
      <c r="D360" s="1454"/>
      <c r="E360" s="1454"/>
      <c r="F360" s="1454"/>
      <c r="G360" s="1454"/>
      <c r="H360" s="1454"/>
      <c r="I360" s="1454"/>
    </row>
    <row r="361" spans="1:11" ht="15.6">
      <c r="A361" s="1516" t="s">
        <v>3</v>
      </c>
      <c r="B361" s="1518" t="s">
        <v>4</v>
      </c>
      <c r="C361" s="1519"/>
      <c r="D361" s="1516" t="s">
        <v>5</v>
      </c>
      <c r="E361" s="1516" t="s">
        <v>6</v>
      </c>
      <c r="F361" s="1516" t="s">
        <v>7</v>
      </c>
      <c r="G361" s="770" t="s">
        <v>8</v>
      </c>
      <c r="H361" s="770" t="s">
        <v>9</v>
      </c>
      <c r="I361" s="770" t="s">
        <v>10</v>
      </c>
    </row>
    <row r="362" spans="1:11" ht="15.6">
      <c r="A362" s="1517"/>
      <c r="B362" s="1520"/>
      <c r="C362" s="1521"/>
      <c r="D362" s="1517"/>
      <c r="E362" s="1517"/>
      <c r="F362" s="1517"/>
      <c r="G362" s="771" t="s">
        <v>11</v>
      </c>
      <c r="H362" s="771" t="s">
        <v>11</v>
      </c>
      <c r="I362" s="771" t="s">
        <v>11</v>
      </c>
    </row>
    <row r="363" spans="1:11" ht="15.6">
      <c r="A363" s="770" t="s">
        <v>12</v>
      </c>
      <c r="B363" s="1393" t="s">
        <v>364</v>
      </c>
      <c r="C363" s="1390"/>
      <c r="D363" s="1369"/>
      <c r="E363" s="774"/>
      <c r="F363" s="774"/>
      <c r="G363" s="774"/>
      <c r="H363" s="775"/>
      <c r="I363" s="776"/>
    </row>
    <row r="364" spans="1:11" ht="30.75" customHeight="1">
      <c r="A364" s="1374">
        <v>1</v>
      </c>
      <c r="B364" s="1510" t="s">
        <v>2367</v>
      </c>
      <c r="C364" s="1511"/>
      <c r="D364" s="1375">
        <v>1</v>
      </c>
      <c r="E364" s="1374" t="s">
        <v>403</v>
      </c>
      <c r="F364" s="1374" t="s">
        <v>16</v>
      </c>
      <c r="G364" s="1376">
        <f>6430000*1.1</f>
        <v>7073000.0000000009</v>
      </c>
      <c r="H364" s="1376">
        <f>+G364*D364</f>
        <v>7073000.0000000009</v>
      </c>
      <c r="I364" s="1377"/>
      <c r="K364" s="1">
        <f>6430+1500</f>
        <v>7930</v>
      </c>
    </row>
    <row r="365" spans="1:11" ht="15.6">
      <c r="A365" s="814"/>
      <c r="B365" s="820"/>
      <c r="C365" s="1391"/>
      <c r="D365" s="782"/>
      <c r="E365" s="780"/>
      <c r="F365" s="780"/>
      <c r="G365" s="781"/>
      <c r="H365" s="817"/>
      <c r="I365" s="818">
        <f>SUM(H364:H365)</f>
        <v>7073000.0000000009</v>
      </c>
    </row>
    <row r="366" spans="1:11" ht="15.6">
      <c r="A366" s="786" t="s">
        <v>18</v>
      </c>
      <c r="B366" s="1393" t="s">
        <v>19</v>
      </c>
      <c r="C366" s="1390"/>
      <c r="D366" s="1369"/>
      <c r="E366" s="1370"/>
      <c r="F366" s="1370"/>
      <c r="G366" s="1371"/>
      <c r="H366" s="781"/>
      <c r="I366" s="1133"/>
      <c r="K366" s="1">
        <f>6430000-I365</f>
        <v>-643000.00000000093</v>
      </c>
    </row>
    <row r="367" spans="1:11" ht="15.6">
      <c r="A367" s="790">
        <v>1</v>
      </c>
      <c r="B367" s="820" t="s">
        <v>2368</v>
      </c>
      <c r="C367" s="1391"/>
      <c r="D367" s="779">
        <v>1</v>
      </c>
      <c r="E367" s="780" t="s">
        <v>51</v>
      </c>
      <c r="F367" s="780" t="s">
        <v>51</v>
      </c>
      <c r="G367" s="788">
        <v>2500000</v>
      </c>
      <c r="H367" s="788">
        <f>G367*D367</f>
        <v>2500000</v>
      </c>
      <c r="I367" s="789"/>
    </row>
    <row r="368" spans="1:11" ht="15.6">
      <c r="A368" s="790"/>
      <c r="B368" s="1394"/>
      <c r="C368" s="1392"/>
      <c r="D368" s="791"/>
      <c r="E368" s="780"/>
      <c r="F368" s="780"/>
      <c r="G368" s="788"/>
      <c r="H368" s="788"/>
      <c r="I368" s="807">
        <f>SUM(H367:H367)</f>
        <v>2500000</v>
      </c>
      <c r="K368" s="1">
        <f>7500000-I372</f>
        <v>-2073000</v>
      </c>
    </row>
    <row r="369" spans="1:9" ht="15.6">
      <c r="A369" s="793"/>
      <c r="B369" s="783"/>
      <c r="C369" s="783"/>
      <c r="D369" s="1410"/>
      <c r="E369" s="795"/>
      <c r="F369" s="811"/>
      <c r="G369" s="811" t="s">
        <v>25</v>
      </c>
      <c r="H369" s="813"/>
      <c r="I369" s="810">
        <f>I365+I368</f>
        <v>9573000</v>
      </c>
    </row>
    <row r="370" spans="1:9" ht="15.6">
      <c r="A370" s="796"/>
      <c r="B370" s="797"/>
      <c r="C370" s="797"/>
      <c r="D370" s="784"/>
      <c r="E370" s="784"/>
      <c r="F370" s="785"/>
      <c r="G370" s="812"/>
      <c r="H370" s="798"/>
      <c r="I370" s="826"/>
    </row>
    <row r="371" spans="1:9" ht="15.6">
      <c r="A371" s="799"/>
      <c r="B371" s="800" t="s">
        <v>549</v>
      </c>
      <c r="C371" s="800"/>
      <c r="D371" s="1411"/>
      <c r="E371" s="800"/>
      <c r="F371" s="800"/>
      <c r="G371" s="801"/>
      <c r="H371" s="828" t="s">
        <v>28</v>
      </c>
      <c r="I371" s="775">
        <f>I369</f>
        <v>9573000</v>
      </c>
    </row>
    <row r="372" spans="1:9" ht="15.6">
      <c r="A372" s="802"/>
      <c r="B372" s="1398" t="s">
        <v>2369</v>
      </c>
      <c r="C372" s="803"/>
      <c r="D372" s="1412"/>
      <c r="E372" s="804"/>
      <c r="F372" s="804"/>
      <c r="G372" s="805"/>
      <c r="H372" s="829" t="s">
        <v>30</v>
      </c>
      <c r="I372" s="807">
        <f>ROUND(I371,-3)</f>
        <v>9573000</v>
      </c>
    </row>
    <row r="373" spans="1:9" ht="15.6">
      <c r="A373" s="49"/>
      <c r="B373" s="49"/>
      <c r="C373" s="49"/>
      <c r="D373" s="823"/>
      <c r="E373" s="49"/>
      <c r="F373" s="49"/>
      <c r="G373" s="49"/>
      <c r="H373" s="49"/>
      <c r="I373" s="50"/>
    </row>
    <row r="374" spans="1:9" ht="15.6">
      <c r="A374" s="51"/>
      <c r="B374" s="51"/>
      <c r="C374" s="51"/>
      <c r="D374" s="1453"/>
      <c r="E374" s="51"/>
      <c r="F374" s="51"/>
      <c r="G374" s="51"/>
      <c r="H374" s="1509" t="s">
        <v>2300</v>
      </c>
      <c r="I374" s="1509"/>
    </row>
    <row r="375" spans="1:9" ht="15.6">
      <c r="A375" s="1509" t="s">
        <v>234</v>
      </c>
      <c r="B375" s="1509"/>
      <c r="C375" s="1509"/>
      <c r="D375" s="1509" t="s">
        <v>32</v>
      </c>
      <c r="E375" s="1509"/>
      <c r="F375" s="1509"/>
      <c r="G375" s="1509"/>
      <c r="H375" s="1509" t="s">
        <v>33</v>
      </c>
      <c r="I375" s="1509"/>
    </row>
    <row r="376" spans="1:9" ht="15.6">
      <c r="A376" s="51"/>
      <c r="B376" s="51"/>
      <c r="C376" s="51"/>
      <c r="D376" s="1453"/>
      <c r="E376" s="51"/>
      <c r="F376" s="51"/>
      <c r="G376" s="51"/>
      <c r="H376" s="51"/>
      <c r="I376" s="51"/>
    </row>
    <row r="377" spans="1:9" ht="15.6">
      <c r="A377" s="51"/>
      <c r="B377" s="51"/>
      <c r="C377" s="51"/>
      <c r="D377" s="1453"/>
      <c r="E377" s="51"/>
      <c r="F377" s="51"/>
      <c r="G377" s="51"/>
      <c r="H377" s="51"/>
      <c r="I377" s="51"/>
    </row>
    <row r="378" spans="1:9" ht="15.6">
      <c r="A378" s="51"/>
      <c r="B378" s="51"/>
      <c r="C378" s="51"/>
      <c r="D378" s="1453"/>
      <c r="E378" s="51"/>
      <c r="F378" s="51"/>
      <c r="G378" s="51"/>
      <c r="H378" s="51"/>
      <c r="I378" s="51"/>
    </row>
    <row r="379" spans="1:9" ht="15.6">
      <c r="A379" s="1512" t="s">
        <v>2256</v>
      </c>
      <c r="B379" s="1512"/>
      <c r="C379" s="1512"/>
      <c r="D379" s="1512" t="s">
        <v>2248</v>
      </c>
      <c r="E379" s="1512"/>
      <c r="F379" s="1512"/>
      <c r="G379" s="1512"/>
      <c r="H379" s="1512" t="s">
        <v>2257</v>
      </c>
      <c r="I379" s="1512"/>
    </row>
    <row r="380" spans="1:9" ht="15.6">
      <c r="A380" s="1509" t="s">
        <v>2247</v>
      </c>
      <c r="B380" s="1509"/>
      <c r="C380" s="1509"/>
      <c r="D380" s="1509" t="s">
        <v>1604</v>
      </c>
      <c r="E380" s="1509"/>
      <c r="F380" s="1509"/>
      <c r="G380" s="1509"/>
      <c r="H380" s="1509" t="s">
        <v>39</v>
      </c>
      <c r="I380" s="1509"/>
    </row>
    <row r="383" spans="1:9" ht="33.6">
      <c r="A383" s="597"/>
      <c r="B383" s="1524" t="s">
        <v>235</v>
      </c>
      <c r="C383" s="1524"/>
      <c r="D383" s="1524"/>
      <c r="E383" s="1524"/>
      <c r="F383" s="1524"/>
      <c r="G383" s="1524"/>
      <c r="H383" s="1524"/>
      <c r="I383" s="1524"/>
    </row>
    <row r="384" spans="1:9" ht="24.75" customHeight="1">
      <c r="A384" s="597"/>
      <c r="B384" s="1525" t="s">
        <v>1984</v>
      </c>
      <c r="C384" s="1525"/>
      <c r="D384" s="1525"/>
      <c r="E384" s="1525"/>
      <c r="F384" s="1525"/>
      <c r="G384" s="1525"/>
      <c r="H384" s="1525"/>
      <c r="I384" s="1525"/>
    </row>
    <row r="385" spans="1:13" ht="25.8">
      <c r="A385" s="830"/>
      <c r="B385" s="1526" t="s">
        <v>2372</v>
      </c>
      <c r="C385" s="1526"/>
      <c r="D385" s="1526"/>
      <c r="E385" s="1526"/>
      <c r="F385" s="1526"/>
      <c r="G385" s="1526"/>
      <c r="H385" s="1526"/>
      <c r="I385" s="1526"/>
    </row>
    <row r="386" spans="1:13" ht="15.6">
      <c r="A386" s="1456"/>
      <c r="B386" s="1456"/>
      <c r="C386" s="1456"/>
      <c r="D386" s="1456"/>
      <c r="E386" s="1456"/>
      <c r="F386" s="1456"/>
      <c r="G386" s="1456"/>
      <c r="H386" s="1456"/>
      <c r="I386" s="1456"/>
    </row>
    <row r="387" spans="1:13" ht="15.6">
      <c r="A387" s="1516" t="s">
        <v>3</v>
      </c>
      <c r="B387" s="1518" t="s">
        <v>4</v>
      </c>
      <c r="C387" s="1519"/>
      <c r="D387" s="1516" t="s">
        <v>5</v>
      </c>
      <c r="E387" s="1516" t="s">
        <v>6</v>
      </c>
      <c r="F387" s="1516" t="s">
        <v>7</v>
      </c>
      <c r="G387" s="770" t="s">
        <v>8</v>
      </c>
      <c r="H387" s="770" t="s">
        <v>9</v>
      </c>
      <c r="I387" s="770" t="s">
        <v>10</v>
      </c>
    </row>
    <row r="388" spans="1:13" ht="15.6">
      <c r="A388" s="1517"/>
      <c r="B388" s="1520"/>
      <c r="C388" s="1521"/>
      <c r="D388" s="1517"/>
      <c r="E388" s="1517"/>
      <c r="F388" s="1517"/>
      <c r="G388" s="771" t="s">
        <v>11</v>
      </c>
      <c r="H388" s="771" t="s">
        <v>11</v>
      </c>
      <c r="I388" s="771" t="s">
        <v>11</v>
      </c>
    </row>
    <row r="389" spans="1:13" ht="15.6">
      <c r="A389" s="770" t="s">
        <v>12</v>
      </c>
      <c r="B389" s="1393" t="s">
        <v>364</v>
      </c>
      <c r="C389" s="1390"/>
      <c r="D389" s="1369"/>
      <c r="E389" s="774"/>
      <c r="F389" s="774"/>
      <c r="G389" s="774"/>
      <c r="H389" s="775"/>
      <c r="I389" s="776"/>
    </row>
    <row r="390" spans="1:13" ht="15.6">
      <c r="A390" s="780">
        <v>1</v>
      </c>
      <c r="B390" s="820" t="s">
        <v>2259</v>
      </c>
      <c r="C390" s="1391"/>
      <c r="D390" s="779">
        <f>6.5 *2</f>
        <v>13</v>
      </c>
      <c r="E390" s="780" t="s">
        <v>2249</v>
      </c>
      <c r="F390" s="780" t="s">
        <v>16</v>
      </c>
      <c r="G390" s="791">
        <v>17500</v>
      </c>
      <c r="H390" s="791">
        <f>+G390*D390</f>
        <v>227500</v>
      </c>
      <c r="I390" s="971"/>
      <c r="M390" s="1">
        <f>280000/6</f>
        <v>46666.666666666664</v>
      </c>
    </row>
    <row r="391" spans="1:13" ht="15.6">
      <c r="A391" s="780">
        <f>+A390+1</f>
        <v>2</v>
      </c>
      <c r="B391" s="820" t="s">
        <v>2251</v>
      </c>
      <c r="C391" s="1391"/>
      <c r="D391" s="779">
        <f>1.5*2</f>
        <v>3</v>
      </c>
      <c r="E391" s="780" t="s">
        <v>2249</v>
      </c>
      <c r="F391" s="780" t="s">
        <v>16</v>
      </c>
      <c r="G391" s="791">
        <v>17500</v>
      </c>
      <c r="H391" s="791">
        <f>+G391*D391</f>
        <v>52500</v>
      </c>
      <c r="I391" s="971"/>
    </row>
    <row r="392" spans="1:13" ht="15.6">
      <c r="A392" s="780">
        <f t="shared" ref="A392:A399" si="16">+A391+1</f>
        <v>3</v>
      </c>
      <c r="B392" s="820" t="s">
        <v>2250</v>
      </c>
      <c r="C392" s="1391"/>
      <c r="D392" s="779">
        <v>1</v>
      </c>
      <c r="E392" s="780" t="s">
        <v>2261</v>
      </c>
      <c r="F392" s="780" t="s">
        <v>16</v>
      </c>
      <c r="G392" s="791">
        <v>36000</v>
      </c>
      <c r="H392" s="791">
        <f t="shared" ref="H392" si="17">+G392*D392</f>
        <v>36000</v>
      </c>
      <c r="I392" s="971"/>
      <c r="K392" s="1">
        <f>24*3*2</f>
        <v>144</v>
      </c>
    </row>
    <row r="393" spans="1:13" ht="15.6">
      <c r="A393" s="780">
        <f t="shared" si="16"/>
        <v>4</v>
      </c>
      <c r="B393" s="820" t="s">
        <v>2262</v>
      </c>
      <c r="C393" s="1391"/>
      <c r="D393" s="779">
        <v>6</v>
      </c>
      <c r="E393" s="780" t="s">
        <v>245</v>
      </c>
      <c r="F393" s="780" t="s">
        <v>16</v>
      </c>
      <c r="G393" s="791">
        <v>160000</v>
      </c>
      <c r="H393" s="791">
        <f>G393*D393</f>
        <v>960000</v>
      </c>
      <c r="I393" s="971"/>
    </row>
    <row r="394" spans="1:13" ht="15.6">
      <c r="A394" s="780">
        <f t="shared" si="16"/>
        <v>5</v>
      </c>
      <c r="B394" s="820" t="s">
        <v>2263</v>
      </c>
      <c r="C394" s="1391"/>
      <c r="D394" s="779">
        <f>0.5*2</f>
        <v>1</v>
      </c>
      <c r="E394" s="780" t="s">
        <v>245</v>
      </c>
      <c r="F394" s="780" t="s">
        <v>16</v>
      </c>
      <c r="G394" s="791">
        <v>53600</v>
      </c>
      <c r="H394" s="791">
        <f>G394*D394</f>
        <v>53600</v>
      </c>
      <c r="I394" s="971"/>
    </row>
    <row r="395" spans="1:13" ht="21">
      <c r="A395" s="780">
        <f t="shared" si="16"/>
        <v>6</v>
      </c>
      <c r="B395" s="820" t="s">
        <v>2264</v>
      </c>
      <c r="C395" s="1391"/>
      <c r="D395" s="779">
        <f>2*2</f>
        <v>4</v>
      </c>
      <c r="E395" s="780" t="s">
        <v>44</v>
      </c>
      <c r="F395" s="780" t="s">
        <v>16</v>
      </c>
      <c r="G395" s="791">
        <v>43000</v>
      </c>
      <c r="H395" s="791">
        <f t="shared" ref="H395:H400" si="18">+G395*D395</f>
        <v>172000</v>
      </c>
      <c r="I395" s="971"/>
      <c r="K395" s="1141">
        <f>24*10*0.5</f>
        <v>120</v>
      </c>
    </row>
    <row r="396" spans="1:13" ht="15.6">
      <c r="A396" s="780">
        <f t="shared" si="16"/>
        <v>7</v>
      </c>
      <c r="B396" s="820" t="s">
        <v>2265</v>
      </c>
      <c r="C396" s="1391"/>
      <c r="D396" s="779">
        <v>12</v>
      </c>
      <c r="E396" s="780" t="s">
        <v>179</v>
      </c>
      <c r="F396" s="780" t="s">
        <v>16</v>
      </c>
      <c r="G396" s="791">
        <v>46000</v>
      </c>
      <c r="H396" s="791">
        <f t="shared" si="18"/>
        <v>552000</v>
      </c>
      <c r="I396" s="971"/>
      <c r="K396" s="1">
        <f>24*3*2</f>
        <v>144</v>
      </c>
    </row>
    <row r="397" spans="1:13" ht="15.6">
      <c r="A397" s="780">
        <f t="shared" si="16"/>
        <v>8</v>
      </c>
      <c r="B397" s="820" t="s">
        <v>2252</v>
      </c>
      <c r="C397" s="1391"/>
      <c r="D397" s="779">
        <f>2*2</f>
        <v>4</v>
      </c>
      <c r="E397" s="780" t="s">
        <v>132</v>
      </c>
      <c r="F397" s="780" t="s">
        <v>16</v>
      </c>
      <c r="G397" s="791">
        <v>15000</v>
      </c>
      <c r="H397" s="791">
        <f t="shared" si="18"/>
        <v>60000</v>
      </c>
      <c r="I397" s="971"/>
      <c r="K397" s="1">
        <f>24*3*2</f>
        <v>144</v>
      </c>
    </row>
    <row r="398" spans="1:13" ht="15.6">
      <c r="A398" s="780">
        <f t="shared" si="16"/>
        <v>9</v>
      </c>
      <c r="B398" s="820" t="s">
        <v>2253</v>
      </c>
      <c r="C398" s="1391"/>
      <c r="D398" s="779">
        <f>2*2</f>
        <v>4</v>
      </c>
      <c r="E398" s="780" t="s">
        <v>132</v>
      </c>
      <c r="F398" s="780" t="s">
        <v>16</v>
      </c>
      <c r="G398" s="791">
        <v>8000</v>
      </c>
      <c r="H398" s="791">
        <f t="shared" si="18"/>
        <v>32000</v>
      </c>
      <c r="I398" s="971"/>
      <c r="K398" s="1">
        <f>24*3*2</f>
        <v>144</v>
      </c>
    </row>
    <row r="399" spans="1:13" s="1378" customFormat="1" ht="33.75" customHeight="1">
      <c r="A399" s="1374">
        <f t="shared" si="16"/>
        <v>10</v>
      </c>
      <c r="B399" s="1510" t="s">
        <v>2258</v>
      </c>
      <c r="C399" s="1511"/>
      <c r="D399" s="1457">
        <v>1</v>
      </c>
      <c r="E399" s="1374"/>
      <c r="F399" s="1374" t="s">
        <v>51</v>
      </c>
      <c r="G399" s="1376">
        <v>100000</v>
      </c>
      <c r="H399" s="1376">
        <f t="shared" si="18"/>
        <v>100000</v>
      </c>
      <c r="I399" s="1377"/>
      <c r="K399" s="1378">
        <f>24*3*2</f>
        <v>144</v>
      </c>
    </row>
    <row r="400" spans="1:13" ht="15.6">
      <c r="A400" s="777">
        <v>11</v>
      </c>
      <c r="B400" s="820" t="s">
        <v>2260</v>
      </c>
      <c r="C400" s="1391"/>
      <c r="D400" s="779">
        <v>1</v>
      </c>
      <c r="E400" s="780" t="s">
        <v>2261</v>
      </c>
      <c r="F400" s="780" t="s">
        <v>16</v>
      </c>
      <c r="G400" s="781">
        <v>56000</v>
      </c>
      <c r="H400" s="781">
        <f t="shared" si="18"/>
        <v>56000</v>
      </c>
      <c r="I400" s="1133"/>
      <c r="K400" s="1">
        <f>10*3*2</f>
        <v>60</v>
      </c>
    </row>
    <row r="401" spans="1:11" ht="15.6">
      <c r="A401" s="814"/>
      <c r="B401" s="820"/>
      <c r="C401" s="1391"/>
      <c r="D401" s="782"/>
      <c r="E401" s="780"/>
      <c r="F401" s="780"/>
      <c r="G401" s="781"/>
      <c r="H401" s="817"/>
      <c r="I401" s="818">
        <f>SUM(H390:H401)</f>
        <v>2301600</v>
      </c>
    </row>
    <row r="402" spans="1:11" ht="15.6">
      <c r="A402" s="786" t="s">
        <v>18</v>
      </c>
      <c r="B402" s="1393" t="s">
        <v>19</v>
      </c>
      <c r="C402" s="1390"/>
      <c r="D402" s="1369"/>
      <c r="E402" s="1370"/>
      <c r="F402" s="1370"/>
      <c r="G402" s="1371"/>
      <c r="H402" s="781"/>
      <c r="I402" s="1133"/>
      <c r="K402" s="1">
        <f>21*3*2</f>
        <v>126</v>
      </c>
    </row>
    <row r="403" spans="1:11" ht="15.6">
      <c r="A403" s="790">
        <v>1</v>
      </c>
      <c r="B403" s="820" t="s">
        <v>2230</v>
      </c>
      <c r="C403" s="1391"/>
      <c r="D403" s="779">
        <v>2</v>
      </c>
      <c r="E403" s="780" t="s">
        <v>1878</v>
      </c>
      <c r="F403" s="780" t="s">
        <v>373</v>
      </c>
      <c r="G403" s="788">
        <v>135000</v>
      </c>
      <c r="H403" s="788">
        <f>G403*D403</f>
        <v>270000</v>
      </c>
      <c r="I403" s="789"/>
    </row>
    <row r="404" spans="1:11" ht="15.6">
      <c r="A404" s="790">
        <f>A403+1</f>
        <v>2</v>
      </c>
      <c r="B404" s="820" t="s">
        <v>2273</v>
      </c>
      <c r="C404" s="1391"/>
      <c r="D404" s="779">
        <v>2</v>
      </c>
      <c r="E404" s="780" t="s">
        <v>2274</v>
      </c>
      <c r="F404" s="780" t="s">
        <v>373</v>
      </c>
      <c r="G404" s="788">
        <v>90000</v>
      </c>
      <c r="H404" s="788">
        <f>G404*D404</f>
        <v>180000</v>
      </c>
      <c r="I404" s="789"/>
    </row>
    <row r="405" spans="1:11" ht="15.6">
      <c r="A405" s="790"/>
      <c r="B405" s="1394"/>
      <c r="C405" s="1392"/>
      <c r="D405" s="791"/>
      <c r="E405" s="780"/>
      <c r="F405" s="780"/>
      <c r="G405" s="788"/>
      <c r="H405" s="788"/>
      <c r="I405" s="807">
        <f>SUM(H403:H404)</f>
        <v>450000</v>
      </c>
    </row>
    <row r="406" spans="1:11" ht="15.6">
      <c r="A406" s="793"/>
      <c r="B406" s="783"/>
      <c r="C406" s="783"/>
      <c r="D406" s="1410"/>
      <c r="E406" s="795"/>
      <c r="F406" s="811"/>
      <c r="G406" s="811" t="s">
        <v>25</v>
      </c>
      <c r="H406" s="813"/>
      <c r="I406" s="810">
        <f>I401+I405</f>
        <v>2751600</v>
      </c>
    </row>
    <row r="407" spans="1:11" ht="15.6">
      <c r="A407" s="820"/>
      <c r="B407" s="821"/>
      <c r="C407" s="821"/>
      <c r="D407" s="822"/>
      <c r="E407" s="822"/>
      <c r="F407" s="823"/>
      <c r="G407" s="819"/>
      <c r="H407" s="964"/>
      <c r="I407" s="1372"/>
    </row>
    <row r="408" spans="1:11" ht="15.6">
      <c r="A408" s="796"/>
      <c r="B408" s="797"/>
      <c r="C408" s="797"/>
      <c r="D408" s="784"/>
      <c r="E408" s="784"/>
      <c r="F408" s="785"/>
      <c r="G408" s="812"/>
      <c r="H408" s="798"/>
      <c r="I408" s="826"/>
    </row>
    <row r="409" spans="1:11" ht="15.6">
      <c r="A409" s="799"/>
      <c r="B409" s="800" t="s">
        <v>549</v>
      </c>
      <c r="C409" s="800"/>
      <c r="D409" s="1411"/>
      <c r="E409" s="800"/>
      <c r="F409" s="800"/>
      <c r="G409" s="801"/>
      <c r="H409" s="828" t="s">
        <v>28</v>
      </c>
      <c r="I409" s="775">
        <f>I406</f>
        <v>2751600</v>
      </c>
    </row>
    <row r="410" spans="1:11" ht="15.6">
      <c r="A410" s="802"/>
      <c r="B410" s="803" t="s">
        <v>2275</v>
      </c>
      <c r="C410" s="803"/>
      <c r="D410" s="1412"/>
      <c r="E410" s="804"/>
      <c r="F410" s="804"/>
      <c r="G410" s="805"/>
      <c r="H410" s="829" t="s">
        <v>30</v>
      </c>
      <c r="I410" s="807">
        <f>ROUND(I409,-3)</f>
        <v>2752000</v>
      </c>
    </row>
    <row r="411" spans="1:11" ht="15.6">
      <c r="A411" s="49"/>
      <c r="B411" s="49"/>
      <c r="C411" s="49"/>
      <c r="D411" s="823"/>
      <c r="E411" s="49"/>
      <c r="F411" s="49"/>
      <c r="G411" s="49"/>
      <c r="H411" s="49"/>
      <c r="I411" s="50"/>
    </row>
    <row r="412" spans="1:11" ht="15.6">
      <c r="A412" s="51"/>
      <c r="B412" s="51"/>
      <c r="C412" s="51"/>
      <c r="D412" s="1455"/>
      <c r="E412" s="51"/>
      <c r="F412" s="51"/>
      <c r="G412" s="51"/>
      <c r="H412" s="1509" t="s">
        <v>2409</v>
      </c>
      <c r="I412" s="1509"/>
    </row>
    <row r="413" spans="1:11" ht="15.6">
      <c r="A413" s="1509" t="s">
        <v>31</v>
      </c>
      <c r="B413" s="1509"/>
      <c r="C413" s="1509"/>
      <c r="D413" s="1509" t="s">
        <v>32</v>
      </c>
      <c r="E413" s="1509"/>
      <c r="F413" s="1509"/>
      <c r="G413" s="51"/>
      <c r="H413" s="1509" t="s">
        <v>33</v>
      </c>
      <c r="I413" s="1509"/>
    </row>
    <row r="414" spans="1:11" ht="15.6">
      <c r="A414" s="51"/>
      <c r="B414" s="51"/>
      <c r="C414" s="51"/>
      <c r="D414" s="1455"/>
      <c r="E414" s="51"/>
      <c r="F414" s="51"/>
      <c r="G414" s="51"/>
      <c r="H414" s="51"/>
      <c r="I414" s="51"/>
    </row>
    <row r="415" spans="1:11" ht="15.6">
      <c r="A415" s="51"/>
      <c r="B415" s="51"/>
      <c r="C415" s="51"/>
      <c r="D415" s="1455"/>
      <c r="E415" s="51"/>
      <c r="F415" s="51"/>
      <c r="G415" s="51"/>
      <c r="H415" s="51"/>
      <c r="I415" s="51"/>
    </row>
    <row r="416" spans="1:11" ht="15.6">
      <c r="A416" s="51"/>
      <c r="B416" s="51"/>
      <c r="C416" s="51"/>
      <c r="D416" s="1455"/>
      <c r="E416" s="51"/>
      <c r="F416" s="51"/>
      <c r="G416" s="51"/>
      <c r="H416" s="51"/>
      <c r="I416" s="51"/>
    </row>
    <row r="417" spans="1:13" ht="15.6">
      <c r="A417" s="1512" t="s">
        <v>2256</v>
      </c>
      <c r="B417" s="1512"/>
      <c r="C417" s="1512"/>
      <c r="D417" s="1512" t="s">
        <v>2309</v>
      </c>
      <c r="E417" s="1512"/>
      <c r="F417" s="1512"/>
      <c r="G417" s="51"/>
      <c r="H417" s="1512" t="s">
        <v>2257</v>
      </c>
      <c r="I417" s="1512"/>
    </row>
    <row r="418" spans="1:13" ht="15.6">
      <c r="A418" s="1509" t="s">
        <v>2247</v>
      </c>
      <c r="B418" s="1509"/>
      <c r="C418" s="1509"/>
      <c r="D418" s="1509" t="s">
        <v>2408</v>
      </c>
      <c r="E418" s="1509"/>
      <c r="F418" s="1509"/>
      <c r="G418" s="51"/>
      <c r="H418" s="1509" t="s">
        <v>39</v>
      </c>
      <c r="I418" s="1509"/>
    </row>
    <row r="421" spans="1:13" ht="33.6">
      <c r="A421" s="597"/>
      <c r="B421" s="1524" t="s">
        <v>235</v>
      </c>
      <c r="C421" s="1524"/>
      <c r="D421" s="1524"/>
      <c r="E421" s="1524"/>
      <c r="F421" s="1524"/>
      <c r="G421" s="1524"/>
      <c r="H421" s="1524"/>
      <c r="I421" s="1524"/>
    </row>
    <row r="422" spans="1:13" ht="24.75" customHeight="1">
      <c r="A422" s="597"/>
      <c r="B422" s="1525" t="s">
        <v>2415</v>
      </c>
      <c r="C422" s="1525"/>
      <c r="D422" s="1525"/>
      <c r="E422" s="1525"/>
      <c r="F422" s="1525"/>
      <c r="G422" s="1525"/>
      <c r="H422" s="1525"/>
      <c r="I422" s="1525"/>
    </row>
    <row r="423" spans="1:13" ht="25.8">
      <c r="A423" s="830"/>
      <c r="B423" s="1526" t="s">
        <v>237</v>
      </c>
      <c r="C423" s="1526"/>
      <c r="D423" s="1526"/>
      <c r="E423" s="1526"/>
      <c r="F423" s="1526"/>
      <c r="G423" s="1526"/>
      <c r="H423" s="1526"/>
      <c r="I423" s="1526"/>
    </row>
    <row r="424" spans="1:13" ht="15.6">
      <c r="A424" s="1459"/>
      <c r="B424" s="1459"/>
      <c r="C424" s="1459"/>
      <c r="D424" s="1459"/>
      <c r="E424" s="1459"/>
      <c r="F424" s="1459"/>
      <c r="G424" s="1459"/>
      <c r="H424" s="1459"/>
      <c r="I424" s="1459"/>
    </row>
    <row r="425" spans="1:13" ht="15.6">
      <c r="A425" s="1516" t="s">
        <v>3</v>
      </c>
      <c r="B425" s="1518" t="s">
        <v>4</v>
      </c>
      <c r="C425" s="1519"/>
      <c r="D425" s="1516" t="s">
        <v>5</v>
      </c>
      <c r="E425" s="1516" t="s">
        <v>6</v>
      </c>
      <c r="F425" s="1516" t="s">
        <v>7</v>
      </c>
      <c r="G425" s="770" t="s">
        <v>8</v>
      </c>
      <c r="H425" s="770" t="s">
        <v>9</v>
      </c>
      <c r="I425" s="770" t="s">
        <v>10</v>
      </c>
    </row>
    <row r="426" spans="1:13" ht="15.6">
      <c r="A426" s="1517"/>
      <c r="B426" s="1520"/>
      <c r="C426" s="1521"/>
      <c r="D426" s="1517"/>
      <c r="E426" s="1517"/>
      <c r="F426" s="1517"/>
      <c r="G426" s="771" t="s">
        <v>11</v>
      </c>
      <c r="H426" s="771" t="s">
        <v>11</v>
      </c>
      <c r="I426" s="771" t="s">
        <v>11</v>
      </c>
    </row>
    <row r="427" spans="1:13" ht="15.6">
      <c r="A427" s="770" t="s">
        <v>12</v>
      </c>
      <c r="B427" s="1393" t="s">
        <v>364</v>
      </c>
      <c r="C427" s="1390"/>
      <c r="D427" s="1369"/>
      <c r="E427" s="774"/>
      <c r="F427" s="774"/>
      <c r="G427" s="774"/>
      <c r="H427" s="775"/>
      <c r="I427" s="776"/>
    </row>
    <row r="428" spans="1:13" s="1378" customFormat="1" ht="18" customHeight="1">
      <c r="A428" s="1374">
        <v>1</v>
      </c>
      <c r="B428" s="1510" t="s">
        <v>2413</v>
      </c>
      <c r="C428" s="1511"/>
      <c r="D428" s="1375">
        <v>15</v>
      </c>
      <c r="E428" s="1374" t="s">
        <v>2261</v>
      </c>
      <c r="F428" s="1374" t="s">
        <v>16</v>
      </c>
      <c r="G428" s="1376">
        <v>56000</v>
      </c>
      <c r="H428" s="1376">
        <f>+G428*D428</f>
        <v>840000</v>
      </c>
      <c r="I428" s="1377"/>
      <c r="M428" s="1378">
        <f>280000/6</f>
        <v>46666.666666666664</v>
      </c>
    </row>
    <row r="429" spans="1:13" ht="15.6">
      <c r="A429" s="780">
        <f>+A428+1</f>
        <v>2</v>
      </c>
      <c r="B429" s="820" t="s">
        <v>2391</v>
      </c>
      <c r="C429" s="1391"/>
      <c r="D429" s="779">
        <v>2</v>
      </c>
      <c r="E429" s="780" t="s">
        <v>403</v>
      </c>
      <c r="F429" s="780" t="s">
        <v>16</v>
      </c>
      <c r="G429" s="791">
        <v>40000</v>
      </c>
      <c r="H429" s="791">
        <f>+G429*D429</f>
        <v>80000</v>
      </c>
      <c r="I429" s="971"/>
    </row>
    <row r="430" spans="1:13" ht="15.6">
      <c r="A430" s="780">
        <f t="shared" ref="A430:A436" si="19">+A429+1</f>
        <v>3</v>
      </c>
      <c r="B430" s="820" t="s">
        <v>2386</v>
      </c>
      <c r="C430" s="1391"/>
      <c r="D430" s="779">
        <v>1</v>
      </c>
      <c r="E430" s="780" t="s">
        <v>403</v>
      </c>
      <c r="F430" s="780" t="s">
        <v>16</v>
      </c>
      <c r="G430" s="791">
        <v>15000</v>
      </c>
      <c r="H430" s="791">
        <f>+G430*D430</f>
        <v>15000</v>
      </c>
      <c r="I430" s="971"/>
    </row>
    <row r="431" spans="1:13" ht="15.6">
      <c r="A431" s="780">
        <f t="shared" si="19"/>
        <v>4</v>
      </c>
      <c r="B431" s="820" t="s">
        <v>2398</v>
      </c>
      <c r="C431" s="1391"/>
      <c r="D431" s="779">
        <v>5</v>
      </c>
      <c r="E431" s="780" t="s">
        <v>2405</v>
      </c>
      <c r="F431" s="780" t="s">
        <v>16</v>
      </c>
      <c r="G431" s="791">
        <v>4500</v>
      </c>
      <c r="H431" s="791">
        <f t="shared" ref="H431" si="20">+G431*D431</f>
        <v>22500</v>
      </c>
      <c r="I431" s="971"/>
      <c r="K431" s="1">
        <f>24*3*2</f>
        <v>144</v>
      </c>
    </row>
    <row r="432" spans="1:13" ht="15.6">
      <c r="A432" s="780">
        <f t="shared" si="19"/>
        <v>5</v>
      </c>
      <c r="B432" s="820" t="s">
        <v>2378</v>
      </c>
      <c r="C432" s="1391"/>
      <c r="D432" s="779">
        <f>+D429</f>
        <v>2</v>
      </c>
      <c r="E432" s="780" t="s">
        <v>403</v>
      </c>
      <c r="F432" s="780" t="s">
        <v>16</v>
      </c>
      <c r="G432" s="791">
        <v>7000</v>
      </c>
      <c r="H432" s="791">
        <f>G432*D432</f>
        <v>14000</v>
      </c>
      <c r="I432" s="971"/>
    </row>
    <row r="433" spans="1:11" ht="15.6">
      <c r="A433" s="780">
        <f t="shared" si="19"/>
        <v>6</v>
      </c>
      <c r="B433" s="820" t="s">
        <v>2414</v>
      </c>
      <c r="C433" s="1391"/>
      <c r="D433" s="779">
        <v>2</v>
      </c>
      <c r="E433" s="780" t="s">
        <v>2261</v>
      </c>
      <c r="F433" s="780" t="s">
        <v>16</v>
      </c>
      <c r="G433" s="791">
        <v>40000</v>
      </c>
      <c r="H433" s="791">
        <f t="shared" ref="H433:H435" si="21">+G433*D433</f>
        <v>80000</v>
      </c>
      <c r="I433" s="971"/>
      <c r="K433" s="1">
        <f>24*3*2</f>
        <v>144</v>
      </c>
    </row>
    <row r="434" spans="1:11" ht="15.6">
      <c r="A434" s="780">
        <f t="shared" si="19"/>
        <v>7</v>
      </c>
      <c r="B434" s="820" t="s">
        <v>2387</v>
      </c>
      <c r="C434" s="1391"/>
      <c r="D434" s="779">
        <f>+D429</f>
        <v>2</v>
      </c>
      <c r="E434" s="780" t="s">
        <v>403</v>
      </c>
      <c r="F434" s="780" t="s">
        <v>16</v>
      </c>
      <c r="G434" s="791">
        <v>15000</v>
      </c>
      <c r="H434" s="791">
        <f t="shared" si="21"/>
        <v>30000</v>
      </c>
      <c r="I434" s="971"/>
      <c r="K434" s="1">
        <f>24*3*2</f>
        <v>144</v>
      </c>
    </row>
    <row r="435" spans="1:11" ht="15.6">
      <c r="A435" s="780">
        <f t="shared" si="19"/>
        <v>8</v>
      </c>
      <c r="B435" s="820" t="s">
        <v>2389</v>
      </c>
      <c r="C435" s="1391"/>
      <c r="D435" s="779">
        <v>4</v>
      </c>
      <c r="E435" s="780" t="s">
        <v>403</v>
      </c>
      <c r="F435" s="780" t="s">
        <v>16</v>
      </c>
      <c r="G435" s="791">
        <v>5000</v>
      </c>
      <c r="H435" s="791">
        <f t="shared" si="21"/>
        <v>20000</v>
      </c>
      <c r="I435" s="971"/>
      <c r="K435" s="1">
        <f>24*3*2</f>
        <v>144</v>
      </c>
    </row>
    <row r="436" spans="1:11" s="1378" customFormat="1" ht="18" customHeight="1">
      <c r="A436" s="780">
        <f t="shared" si="19"/>
        <v>9</v>
      </c>
      <c r="B436" s="1510" t="s">
        <v>2403</v>
      </c>
      <c r="C436" s="1511"/>
      <c r="D436" s="1375">
        <v>2</v>
      </c>
      <c r="E436" s="1374" t="s">
        <v>403</v>
      </c>
      <c r="F436" s="1374" t="s">
        <v>16</v>
      </c>
      <c r="G436" s="1376">
        <v>6000</v>
      </c>
      <c r="H436" s="1376">
        <f t="shared" ref="H436" si="22">+G436*D436</f>
        <v>12000</v>
      </c>
      <c r="I436" s="1377"/>
      <c r="K436" s="1378">
        <f>24*3*2</f>
        <v>144</v>
      </c>
    </row>
    <row r="437" spans="1:11" ht="15.6">
      <c r="A437" s="814"/>
      <c r="B437" s="820"/>
      <c r="C437" s="1391"/>
      <c r="D437" s="782"/>
      <c r="E437" s="780"/>
      <c r="F437" s="780"/>
      <c r="G437" s="781"/>
      <c r="H437" s="817"/>
      <c r="I437" s="818">
        <f>SUM(H428:H437)</f>
        <v>1113500</v>
      </c>
    </row>
    <row r="438" spans="1:11" ht="15.6">
      <c r="A438" s="786" t="s">
        <v>18</v>
      </c>
      <c r="B438" s="1393" t="s">
        <v>19</v>
      </c>
      <c r="C438" s="1390"/>
      <c r="D438" s="1369"/>
      <c r="E438" s="1370"/>
      <c r="F438" s="1370"/>
      <c r="G438" s="1371"/>
      <c r="H438" s="781"/>
      <c r="I438" s="1133"/>
      <c r="K438" s="1">
        <f>21*3*2</f>
        <v>126</v>
      </c>
    </row>
    <row r="439" spans="1:11" ht="15.6">
      <c r="A439" s="790">
        <v>1</v>
      </c>
      <c r="B439" s="820" t="s">
        <v>2399</v>
      </c>
      <c r="C439" s="1391"/>
      <c r="D439" s="779">
        <v>2</v>
      </c>
      <c r="E439" s="780" t="s">
        <v>373</v>
      </c>
      <c r="F439" s="780" t="s">
        <v>51</v>
      </c>
      <c r="G439" s="788">
        <v>144075</v>
      </c>
      <c r="H439" s="788">
        <f>G439*D439</f>
        <v>288150</v>
      </c>
      <c r="I439" s="789"/>
    </row>
    <row r="440" spans="1:11" ht="15.6">
      <c r="A440" s="790">
        <f>A439+1</f>
        <v>2</v>
      </c>
      <c r="B440" s="820" t="s">
        <v>2400</v>
      </c>
      <c r="C440" s="1391"/>
      <c r="D440" s="779">
        <v>2</v>
      </c>
      <c r="E440" s="780" t="s">
        <v>373</v>
      </c>
      <c r="F440" s="780" t="s">
        <v>51</v>
      </c>
      <c r="G440" s="788">
        <v>216960</v>
      </c>
      <c r="H440" s="788">
        <f>G440*D440</f>
        <v>433920</v>
      </c>
      <c r="I440" s="789"/>
    </row>
    <row r="441" spans="1:11" ht="15.6">
      <c r="A441" s="790"/>
      <c r="B441" s="1394"/>
      <c r="C441" s="1392"/>
      <c r="D441" s="791"/>
      <c r="E441" s="780"/>
      <c r="F441" s="780"/>
      <c r="G441" s="788"/>
      <c r="H441" s="788"/>
      <c r="I441" s="807">
        <f>SUM(H439:H440)</f>
        <v>722070</v>
      </c>
    </row>
    <row r="442" spans="1:11" ht="15.6">
      <c r="A442" s="793"/>
      <c r="B442" s="783"/>
      <c r="C442" s="783"/>
      <c r="D442" s="1410"/>
      <c r="E442" s="795"/>
      <c r="F442" s="811"/>
      <c r="G442" s="811" t="s">
        <v>25</v>
      </c>
      <c r="H442" s="813"/>
      <c r="I442" s="810">
        <f>I437+I441</f>
        <v>1835570</v>
      </c>
    </row>
    <row r="443" spans="1:11" ht="15.6">
      <c r="A443" s="820"/>
      <c r="B443" s="821"/>
      <c r="C443" s="821"/>
      <c r="D443" s="822"/>
      <c r="E443" s="822"/>
      <c r="F443" s="823"/>
      <c r="G443" s="819"/>
      <c r="H443" s="964"/>
      <c r="I443" s="1372"/>
    </row>
    <row r="444" spans="1:11" ht="15.6">
      <c r="A444" s="796"/>
      <c r="B444" s="797"/>
      <c r="C444" s="797"/>
      <c r="D444" s="784"/>
      <c r="E444" s="784"/>
      <c r="F444" s="785"/>
      <c r="G444" s="812"/>
      <c r="H444" s="798"/>
      <c r="I444" s="826"/>
    </row>
    <row r="445" spans="1:11" ht="15.6">
      <c r="A445" s="799"/>
      <c r="B445" s="800" t="s">
        <v>549</v>
      </c>
      <c r="C445" s="800"/>
      <c r="D445" s="1411"/>
      <c r="E445" s="800"/>
      <c r="F445" s="800"/>
      <c r="G445" s="801"/>
      <c r="H445" s="828" t="s">
        <v>28</v>
      </c>
      <c r="I445" s="775">
        <f>I442</f>
        <v>1835570</v>
      </c>
    </row>
    <row r="446" spans="1:11" ht="15.6">
      <c r="A446" s="802"/>
      <c r="B446" s="1398" t="s">
        <v>2438</v>
      </c>
      <c r="C446" s="803"/>
      <c r="D446" s="1412"/>
      <c r="E446" s="804"/>
      <c r="F446" s="804"/>
      <c r="G446" s="805"/>
      <c r="H446" s="829" t="s">
        <v>30</v>
      </c>
      <c r="I446" s="807">
        <f>ROUND(I445,-3)</f>
        <v>1836000</v>
      </c>
    </row>
    <row r="447" spans="1:11" ht="15.6">
      <c r="A447" s="49"/>
      <c r="B447" s="49"/>
      <c r="C447" s="49"/>
      <c r="D447" s="823"/>
      <c r="E447" s="49"/>
      <c r="F447" s="49"/>
      <c r="G447" s="49"/>
      <c r="H447" s="49"/>
      <c r="I447" s="50"/>
    </row>
    <row r="448" spans="1:11" ht="15.6">
      <c r="A448" s="51"/>
      <c r="B448" s="51"/>
      <c r="C448" s="51"/>
      <c r="D448" s="1458"/>
      <c r="E448" s="51"/>
      <c r="F448" s="51"/>
      <c r="G448" s="51"/>
      <c r="H448" s="1509" t="s">
        <v>2435</v>
      </c>
      <c r="I448" s="1509"/>
    </row>
    <row r="449" spans="1:9" ht="15.6">
      <c r="A449" s="1509" t="s">
        <v>31</v>
      </c>
      <c r="B449" s="1509"/>
      <c r="C449" s="1509"/>
      <c r="D449" s="1509" t="s">
        <v>32</v>
      </c>
      <c r="E449" s="1509"/>
      <c r="F449" s="1509"/>
      <c r="G449" s="51"/>
      <c r="H449" s="1509" t="s">
        <v>33</v>
      </c>
      <c r="I449" s="1509"/>
    </row>
    <row r="450" spans="1:9" ht="15.6">
      <c r="A450" s="51"/>
      <c r="B450" s="51"/>
      <c r="C450" s="51"/>
      <c r="D450" s="1458"/>
      <c r="E450" s="51"/>
      <c r="F450" s="51"/>
      <c r="G450" s="51"/>
      <c r="H450" s="51"/>
      <c r="I450" s="51"/>
    </row>
    <row r="451" spans="1:9" ht="15.6">
      <c r="A451" s="51"/>
      <c r="B451" s="51"/>
      <c r="C451" s="51"/>
      <c r="D451" s="1458"/>
      <c r="E451" s="51"/>
      <c r="F451" s="51"/>
      <c r="G451" s="51"/>
      <c r="H451" s="51"/>
      <c r="I451" s="51"/>
    </row>
    <row r="452" spans="1:9" ht="15.6">
      <c r="A452" s="51"/>
      <c r="B452" s="51"/>
      <c r="C452" s="51"/>
      <c r="D452" s="1458"/>
      <c r="E452" s="51"/>
      <c r="F452" s="51"/>
      <c r="G452" s="51"/>
      <c r="H452" s="51"/>
      <c r="I452" s="51"/>
    </row>
    <row r="453" spans="1:9" ht="15.6">
      <c r="A453" s="1512" t="s">
        <v>2256</v>
      </c>
      <c r="B453" s="1512"/>
      <c r="C453" s="1512"/>
      <c r="D453" s="1512" t="s">
        <v>2309</v>
      </c>
      <c r="E453" s="1512"/>
      <c r="F453" s="1512"/>
      <c r="G453" s="51"/>
      <c r="H453" s="1512" t="s">
        <v>2257</v>
      </c>
      <c r="I453" s="1512"/>
    </row>
    <row r="454" spans="1:9" ht="15.6">
      <c r="A454" s="1509" t="s">
        <v>2247</v>
      </c>
      <c r="B454" s="1509"/>
      <c r="C454" s="1509"/>
      <c r="D454" s="1509" t="s">
        <v>2447</v>
      </c>
      <c r="E454" s="1509"/>
      <c r="F454" s="1509"/>
      <c r="G454" s="51"/>
      <c r="H454" s="1509" t="s">
        <v>39</v>
      </c>
      <c r="I454" s="1509"/>
    </row>
    <row r="458" spans="1:9" ht="33.6">
      <c r="A458" s="597"/>
      <c r="B458" s="1524" t="s">
        <v>235</v>
      </c>
      <c r="C458" s="1524"/>
      <c r="D458" s="1524"/>
      <c r="E458" s="1524"/>
      <c r="F458" s="1524"/>
      <c r="G458" s="1524"/>
      <c r="H458" s="1524"/>
      <c r="I458" s="1524"/>
    </row>
    <row r="459" spans="1:9" ht="24.75" customHeight="1">
      <c r="A459" s="597"/>
      <c r="B459" s="1525" t="s">
        <v>2406</v>
      </c>
      <c r="C459" s="1525"/>
      <c r="D459" s="1525"/>
      <c r="E459" s="1525"/>
      <c r="F459" s="1525"/>
      <c r="G459" s="1525"/>
      <c r="H459" s="1525"/>
      <c r="I459" s="1525"/>
    </row>
    <row r="460" spans="1:9" ht="25.8">
      <c r="A460" s="830"/>
      <c r="B460" s="1526" t="s">
        <v>2471</v>
      </c>
      <c r="C460" s="1526"/>
      <c r="D460" s="1526"/>
      <c r="E460" s="1526"/>
      <c r="F460" s="1526"/>
      <c r="G460" s="1526"/>
      <c r="H460" s="1526"/>
      <c r="I460" s="1526"/>
    </row>
    <row r="461" spans="1:9" ht="15.6">
      <c r="A461" s="1473"/>
      <c r="B461" s="1473"/>
      <c r="C461" s="1473"/>
      <c r="D461" s="1473"/>
      <c r="E461" s="1473"/>
      <c r="F461" s="1473"/>
      <c r="G461" s="1473"/>
      <c r="H461" s="1473"/>
      <c r="I461" s="1473"/>
    </row>
    <row r="462" spans="1:9" ht="15.6">
      <c r="A462" s="1516" t="s">
        <v>3</v>
      </c>
      <c r="B462" s="1518" t="s">
        <v>4</v>
      </c>
      <c r="C462" s="1519"/>
      <c r="D462" s="1516" t="s">
        <v>5</v>
      </c>
      <c r="E462" s="1516" t="s">
        <v>6</v>
      </c>
      <c r="F462" s="1516" t="s">
        <v>7</v>
      </c>
      <c r="G462" s="770" t="s">
        <v>8</v>
      </c>
      <c r="H462" s="770" t="s">
        <v>9</v>
      </c>
      <c r="I462" s="770" t="s">
        <v>10</v>
      </c>
    </row>
    <row r="463" spans="1:9" ht="15.6">
      <c r="A463" s="1517"/>
      <c r="B463" s="1520"/>
      <c r="C463" s="1521"/>
      <c r="D463" s="1517"/>
      <c r="E463" s="1517"/>
      <c r="F463" s="1517"/>
      <c r="G463" s="771" t="s">
        <v>11</v>
      </c>
      <c r="H463" s="771" t="s">
        <v>11</v>
      </c>
      <c r="I463" s="771" t="s">
        <v>11</v>
      </c>
    </row>
    <row r="464" spans="1:9" ht="15.6">
      <c r="A464" s="770" t="s">
        <v>12</v>
      </c>
      <c r="B464" s="1393" t="s">
        <v>364</v>
      </c>
      <c r="C464" s="1390"/>
      <c r="D464" s="1369"/>
      <c r="E464" s="774"/>
      <c r="F464" s="774"/>
      <c r="G464" s="774"/>
      <c r="H464" s="775"/>
      <c r="I464" s="776"/>
    </row>
    <row r="465" spans="1:13" s="1378" customFormat="1" ht="51" customHeight="1">
      <c r="A465" s="1374">
        <v>1</v>
      </c>
      <c r="B465" s="1510" t="s">
        <v>2407</v>
      </c>
      <c r="C465" s="1511"/>
      <c r="D465" s="1375">
        <v>97</v>
      </c>
      <c r="E465" s="1374" t="s">
        <v>2249</v>
      </c>
      <c r="F465" s="1374" t="s">
        <v>16</v>
      </c>
      <c r="G465" s="1376">
        <v>90000</v>
      </c>
      <c r="H465" s="1376">
        <f>+G465*D465</f>
        <v>8730000</v>
      </c>
      <c r="I465" s="1377"/>
      <c r="M465" s="1378">
        <f>280000/6</f>
        <v>46666.666666666664</v>
      </c>
    </row>
    <row r="466" spans="1:13" ht="15.6">
      <c r="A466" s="780">
        <f>+A465+1</f>
        <v>2</v>
      </c>
      <c r="B466" s="820" t="s">
        <v>2391</v>
      </c>
      <c r="C466" s="1391"/>
      <c r="D466" s="779">
        <v>18</v>
      </c>
      <c r="E466" s="780" t="s">
        <v>403</v>
      </c>
      <c r="F466" s="780" t="s">
        <v>16</v>
      </c>
      <c r="G466" s="791">
        <v>40000</v>
      </c>
      <c r="H466" s="791">
        <f>+G466*D466</f>
        <v>720000</v>
      </c>
      <c r="I466" s="971"/>
    </row>
    <row r="467" spans="1:13" ht="15.6">
      <c r="A467" s="780">
        <f t="shared" ref="A467:A475" si="23">+A466+1</f>
        <v>3</v>
      </c>
      <c r="B467" s="820" t="s">
        <v>2386</v>
      </c>
      <c r="C467" s="1391"/>
      <c r="D467" s="779">
        <v>9</v>
      </c>
      <c r="E467" s="780" t="s">
        <v>403</v>
      </c>
      <c r="F467" s="780" t="s">
        <v>16</v>
      </c>
      <c r="G467" s="791">
        <v>15000</v>
      </c>
      <c r="H467" s="791">
        <f>+G467*D467</f>
        <v>135000</v>
      </c>
      <c r="I467" s="971"/>
    </row>
    <row r="468" spans="1:13" ht="15.6">
      <c r="A468" s="780">
        <f t="shared" si="23"/>
        <v>4</v>
      </c>
      <c r="B468" s="820" t="s">
        <v>2398</v>
      </c>
      <c r="C468" s="1391"/>
      <c r="D468" s="779">
        <v>126</v>
      </c>
      <c r="E468" s="780" t="s">
        <v>2405</v>
      </c>
      <c r="F468" s="780" t="s">
        <v>16</v>
      </c>
      <c r="G468" s="791">
        <v>4500</v>
      </c>
      <c r="H468" s="791">
        <f t="shared" ref="H468" si="24">+G468*D468</f>
        <v>567000</v>
      </c>
      <c r="I468" s="971"/>
      <c r="K468" s="1">
        <f>+H468/7000</f>
        <v>81</v>
      </c>
    </row>
    <row r="469" spans="1:13" ht="15.6">
      <c r="A469" s="780">
        <f t="shared" si="23"/>
        <v>5</v>
      </c>
      <c r="B469" s="820" t="s">
        <v>2378</v>
      </c>
      <c r="C469" s="1391"/>
      <c r="D469" s="779">
        <v>7</v>
      </c>
      <c r="E469" s="780" t="s">
        <v>403</v>
      </c>
      <c r="F469" s="780" t="s">
        <v>16</v>
      </c>
      <c r="G469" s="791">
        <v>7000</v>
      </c>
      <c r="H469" s="791">
        <f>G469*D469</f>
        <v>49000</v>
      </c>
      <c r="I469" s="971"/>
    </row>
    <row r="470" spans="1:13" ht="15.6">
      <c r="A470" s="780">
        <f t="shared" si="23"/>
        <v>6</v>
      </c>
      <c r="B470" s="820" t="s">
        <v>2410</v>
      </c>
      <c r="C470" s="1391"/>
      <c r="D470" s="779">
        <v>7</v>
      </c>
      <c r="E470" s="780" t="s">
        <v>403</v>
      </c>
      <c r="F470" s="780" t="s">
        <v>16</v>
      </c>
      <c r="G470" s="791">
        <v>350000</v>
      </c>
      <c r="H470" s="791">
        <f>G470*D470</f>
        <v>2450000</v>
      </c>
      <c r="I470" s="971"/>
    </row>
    <row r="471" spans="1:13" ht="21">
      <c r="A471" s="780">
        <f t="shared" si="23"/>
        <v>7</v>
      </c>
      <c r="B471" s="820" t="s">
        <v>2402</v>
      </c>
      <c r="C471" s="1391"/>
      <c r="D471" s="779">
        <v>50</v>
      </c>
      <c r="E471" s="780" t="s">
        <v>2401</v>
      </c>
      <c r="F471" s="780" t="s">
        <v>16</v>
      </c>
      <c r="G471" s="791">
        <v>5500</v>
      </c>
      <c r="H471" s="791">
        <f t="shared" ref="H471:H475" si="25">+G471*D471</f>
        <v>275000</v>
      </c>
      <c r="I471" s="971"/>
      <c r="K471" s="1141">
        <f>24*10*0.5</f>
        <v>120</v>
      </c>
    </row>
    <row r="472" spans="1:13" ht="15.6">
      <c r="A472" s="780">
        <f t="shared" si="23"/>
        <v>8</v>
      </c>
      <c r="B472" s="820" t="s">
        <v>2388</v>
      </c>
      <c r="C472" s="1391"/>
      <c r="D472" s="779">
        <v>18</v>
      </c>
      <c r="E472" s="780" t="s">
        <v>403</v>
      </c>
      <c r="F472" s="780" t="s">
        <v>16</v>
      </c>
      <c r="G472" s="791">
        <v>8500</v>
      </c>
      <c r="H472" s="791">
        <f t="shared" si="25"/>
        <v>153000</v>
      </c>
      <c r="I472" s="971"/>
      <c r="K472" s="1">
        <f>24*3*2</f>
        <v>144</v>
      </c>
    </row>
    <row r="473" spans="1:13" ht="15.6">
      <c r="A473" s="780">
        <f t="shared" si="23"/>
        <v>9</v>
      </c>
      <c r="B473" s="820" t="s">
        <v>2387</v>
      </c>
      <c r="C473" s="1391"/>
      <c r="D473" s="779">
        <v>7</v>
      </c>
      <c r="E473" s="780" t="s">
        <v>403</v>
      </c>
      <c r="F473" s="780" t="s">
        <v>16</v>
      </c>
      <c r="G473" s="791">
        <v>15000</v>
      </c>
      <c r="H473" s="791">
        <f t="shared" si="25"/>
        <v>105000</v>
      </c>
      <c r="I473" s="971"/>
      <c r="K473" s="1">
        <f>24*3*2</f>
        <v>144</v>
      </c>
    </row>
    <row r="474" spans="1:13" ht="15.6">
      <c r="A474" s="780">
        <f t="shared" si="23"/>
        <v>10</v>
      </c>
      <c r="B474" s="820" t="s">
        <v>2389</v>
      </c>
      <c r="C474" s="1391"/>
      <c r="D474" s="779">
        <v>20</v>
      </c>
      <c r="E474" s="780" t="s">
        <v>403</v>
      </c>
      <c r="F474" s="780" t="s">
        <v>16</v>
      </c>
      <c r="G474" s="791">
        <v>5000</v>
      </c>
      <c r="H474" s="791">
        <f t="shared" si="25"/>
        <v>100000</v>
      </c>
      <c r="I474" s="971"/>
      <c r="K474" s="1">
        <f>24*3*2</f>
        <v>144</v>
      </c>
    </row>
    <row r="475" spans="1:13" s="1378" customFormat="1" ht="18" customHeight="1">
      <c r="A475" s="780">
        <f t="shared" si="23"/>
        <v>11</v>
      </c>
      <c r="B475" s="1510" t="s">
        <v>2403</v>
      </c>
      <c r="C475" s="1511"/>
      <c r="D475" s="1375">
        <v>9</v>
      </c>
      <c r="E475" s="1374" t="s">
        <v>403</v>
      </c>
      <c r="F475" s="1374" t="s">
        <v>16</v>
      </c>
      <c r="G475" s="1376">
        <v>6000</v>
      </c>
      <c r="H475" s="1376">
        <f t="shared" si="25"/>
        <v>54000</v>
      </c>
      <c r="I475" s="1377"/>
      <c r="K475" s="1378">
        <f>24*3*2</f>
        <v>144</v>
      </c>
    </row>
    <row r="476" spans="1:13" ht="15.6">
      <c r="A476" s="814"/>
      <c r="B476" s="820"/>
      <c r="C476" s="1391"/>
      <c r="D476" s="782"/>
      <c r="E476" s="780"/>
      <c r="F476" s="780"/>
      <c r="G476" s="781"/>
      <c r="H476" s="817"/>
      <c r="I476" s="818">
        <f>SUM(H465:H476)</f>
        <v>13338000</v>
      </c>
    </row>
    <row r="477" spans="1:13" ht="15.6">
      <c r="A477" s="786" t="s">
        <v>18</v>
      </c>
      <c r="B477" s="1393" t="s">
        <v>19</v>
      </c>
      <c r="C477" s="1390"/>
      <c r="D477" s="1369"/>
      <c r="E477" s="1370"/>
      <c r="F477" s="1370"/>
      <c r="G477" s="1371"/>
      <c r="H477" s="781"/>
      <c r="I477" s="1133"/>
      <c r="K477" s="1">
        <f>21*3*2</f>
        <v>126</v>
      </c>
    </row>
    <row r="478" spans="1:13" ht="15.6">
      <c r="A478" s="790">
        <v>1</v>
      </c>
      <c r="B478" s="820" t="s">
        <v>2399</v>
      </c>
      <c r="C478" s="1391"/>
      <c r="D478" s="779">
        <v>38</v>
      </c>
      <c r="E478" s="780" t="s">
        <v>373</v>
      </c>
      <c r="F478" s="780" t="s">
        <v>51</v>
      </c>
      <c r="G478" s="788">
        <v>120000</v>
      </c>
      <c r="H478" s="788">
        <f>G478*D478</f>
        <v>4560000</v>
      </c>
      <c r="I478" s="789"/>
    </row>
    <row r="479" spans="1:13" ht="15.6">
      <c r="A479" s="790">
        <f>A478+1</f>
        <v>2</v>
      </c>
      <c r="B479" s="820" t="s">
        <v>2400</v>
      </c>
      <c r="C479" s="1391"/>
      <c r="D479" s="779">
        <v>38</v>
      </c>
      <c r="E479" s="780" t="s">
        <v>373</v>
      </c>
      <c r="F479" s="780" t="s">
        <v>51</v>
      </c>
      <c r="G479" s="788">
        <v>100000</v>
      </c>
      <c r="H479" s="788">
        <f>G479*D479</f>
        <v>3800000</v>
      </c>
      <c r="I479" s="789"/>
    </row>
    <row r="480" spans="1:13" ht="15.6">
      <c r="A480" s="790"/>
      <c r="B480" s="1394"/>
      <c r="C480" s="1392"/>
      <c r="D480" s="791"/>
      <c r="E480" s="780"/>
      <c r="F480" s="780"/>
      <c r="G480" s="788"/>
      <c r="H480" s="788"/>
      <c r="I480" s="807">
        <f>SUM(H478:H479)</f>
        <v>8360000</v>
      </c>
      <c r="K480" s="1000">
        <f>+G478+G479</f>
        <v>220000</v>
      </c>
    </row>
    <row r="481" spans="1:24" ht="15.6">
      <c r="A481" s="793"/>
      <c r="B481" s="783"/>
      <c r="C481" s="783"/>
      <c r="D481" s="1410"/>
      <c r="E481" s="795"/>
      <c r="F481" s="811"/>
      <c r="G481" s="811" t="s">
        <v>25</v>
      </c>
      <c r="H481" s="813"/>
      <c r="I481" s="810">
        <f>I476+I480</f>
        <v>21698000</v>
      </c>
    </row>
    <row r="482" spans="1:24" ht="15.6">
      <c r="A482" s="820"/>
      <c r="B482" s="821"/>
      <c r="C482" s="821"/>
      <c r="D482" s="822"/>
      <c r="E482" s="822"/>
      <c r="F482" s="823"/>
      <c r="G482" s="819"/>
      <c r="H482" s="964"/>
      <c r="I482" s="1372"/>
    </row>
    <row r="483" spans="1:24" ht="15.6">
      <c r="A483" s="796"/>
      <c r="B483" s="797"/>
      <c r="C483" s="797"/>
      <c r="D483" s="784"/>
      <c r="E483" s="784"/>
      <c r="F483" s="785"/>
      <c r="G483" s="812"/>
      <c r="H483" s="798"/>
      <c r="I483" s="826"/>
    </row>
    <row r="484" spans="1:24" ht="15.6">
      <c r="A484" s="799"/>
      <c r="B484" s="800" t="s">
        <v>549</v>
      </c>
      <c r="C484" s="800"/>
      <c r="D484" s="1411"/>
      <c r="E484" s="800"/>
      <c r="F484" s="800"/>
      <c r="G484" s="801"/>
      <c r="H484" s="828" t="s">
        <v>28</v>
      </c>
      <c r="I484" s="775">
        <f>I481</f>
        <v>21698000</v>
      </c>
      <c r="N484" s="1501">
        <f>I485</f>
        <v>21698000</v>
      </c>
      <c r="O484" s="1502">
        <v>1</v>
      </c>
      <c r="P484" s="1502">
        <f>+O484*10</f>
        <v>10</v>
      </c>
      <c r="Q484" s="1502">
        <f t="shared" ref="Q484:X484" si="26">+P484*10</f>
        <v>100</v>
      </c>
      <c r="R484" s="1502">
        <f t="shared" si="26"/>
        <v>1000</v>
      </c>
      <c r="S484" s="1502">
        <f t="shared" si="26"/>
        <v>10000</v>
      </c>
      <c r="T484" s="1502">
        <f t="shared" si="26"/>
        <v>100000</v>
      </c>
      <c r="U484" s="1502">
        <f t="shared" si="26"/>
        <v>1000000</v>
      </c>
      <c r="V484" s="1503">
        <f t="shared" si="26"/>
        <v>10000000</v>
      </c>
      <c r="W484" s="1503">
        <f t="shared" si="26"/>
        <v>100000000</v>
      </c>
      <c r="X484" s="1502">
        <f t="shared" si="26"/>
        <v>1000000000</v>
      </c>
    </row>
    <row r="485" spans="1:24" ht="15.6">
      <c r="A485" s="802"/>
      <c r="B485" s="1398" t="str">
        <f>+N492</f>
        <v>Dua Puluh Satu Juta Enam Ratus Sembilan Puluh Delapan Ribu Rupiah</v>
      </c>
      <c r="C485" s="803"/>
      <c r="D485" s="1412"/>
      <c r="E485" s="804"/>
      <c r="F485" s="804"/>
      <c r="G485" s="805"/>
      <c r="H485" s="829" t="s">
        <v>30</v>
      </c>
      <c r="I485" s="807">
        <f>ROUND(I484,-3)</f>
        <v>21698000</v>
      </c>
      <c r="N485" s="1504" t="s">
        <v>2472</v>
      </c>
      <c r="O485" s="1502">
        <v>0</v>
      </c>
      <c r="P485" s="1505">
        <f>MOD(N484,P484)</f>
        <v>0</v>
      </c>
      <c r="Q485" s="1505">
        <f>MOD(N484,Q484)</f>
        <v>0</v>
      </c>
      <c r="R485" s="1505">
        <f>MOD(N484,R484)</f>
        <v>0</v>
      </c>
      <c r="S485" s="1505">
        <f>MOD(N484,S484)</f>
        <v>8000</v>
      </c>
      <c r="T485" s="1505">
        <f>MOD(N484,T484)</f>
        <v>98000</v>
      </c>
      <c r="U485" s="1505">
        <f>MOD(N484,U484)</f>
        <v>698000</v>
      </c>
      <c r="V485" s="1503">
        <f>MOD(N484,V484)</f>
        <v>1698000</v>
      </c>
      <c r="W485" s="1505">
        <f>MOD(N484,W484)</f>
        <v>21698000</v>
      </c>
      <c r="X485" s="1505">
        <f>MOD(N484,X484)</f>
        <v>21698000</v>
      </c>
    </row>
    <row r="486" spans="1:24" ht="15.6">
      <c r="A486" s="49"/>
      <c r="B486" s="49"/>
      <c r="C486" s="49"/>
      <c r="D486" s="823"/>
      <c r="E486" s="49"/>
      <c r="F486" s="49"/>
      <c r="G486" s="49"/>
      <c r="H486" s="49"/>
      <c r="I486" s="50"/>
      <c r="N486" s="1502"/>
      <c r="O486" s="1502"/>
      <c r="P486" s="1502">
        <f t="shared" ref="P486:U486" si="27">+P485-O485</f>
        <v>0</v>
      </c>
      <c r="Q486" s="1502">
        <f t="shared" si="27"/>
        <v>0</v>
      </c>
      <c r="R486" s="1502">
        <f t="shared" si="27"/>
        <v>0</v>
      </c>
      <c r="S486" s="1502">
        <f t="shared" si="27"/>
        <v>8000</v>
      </c>
      <c r="T486" s="1502">
        <f t="shared" si="27"/>
        <v>90000</v>
      </c>
      <c r="U486" s="1502">
        <f t="shared" si="27"/>
        <v>600000</v>
      </c>
      <c r="V486" s="1503">
        <f>+V485-U485</f>
        <v>1000000</v>
      </c>
      <c r="W486" s="1502">
        <f t="shared" ref="W486:X486" si="28">+W485-V485</f>
        <v>20000000</v>
      </c>
      <c r="X486" s="1502">
        <f t="shared" si="28"/>
        <v>0</v>
      </c>
    </row>
    <row r="487" spans="1:24" ht="15.6">
      <c r="A487" s="51"/>
      <c r="B487" s="51"/>
      <c r="C487" s="51"/>
      <c r="D487" s="1472"/>
      <c r="E487" s="51"/>
      <c r="F487" s="51"/>
      <c r="G487" s="51"/>
      <c r="H487" s="1509" t="s">
        <v>2473</v>
      </c>
      <c r="I487" s="1509"/>
      <c r="N487" s="1502"/>
      <c r="O487" s="1502"/>
      <c r="P487" s="1502">
        <f t="shared" ref="P487:U487" si="29">+P486*10/P484</f>
        <v>0</v>
      </c>
      <c r="Q487" s="1502">
        <f t="shared" si="29"/>
        <v>0</v>
      </c>
      <c r="R487" s="1502">
        <f t="shared" si="29"/>
        <v>0</v>
      </c>
      <c r="S487" s="1502">
        <f t="shared" si="29"/>
        <v>8</v>
      </c>
      <c r="T487" s="1502">
        <f t="shared" si="29"/>
        <v>9</v>
      </c>
      <c r="U487" s="1502">
        <f t="shared" si="29"/>
        <v>6</v>
      </c>
      <c r="V487" s="1503">
        <f>+V486*10/V484</f>
        <v>1</v>
      </c>
      <c r="W487" s="1502">
        <f t="shared" ref="W487:X487" si="30">+W486*10/W484</f>
        <v>2</v>
      </c>
      <c r="X487" s="1502">
        <f t="shared" si="30"/>
        <v>0</v>
      </c>
    </row>
    <row r="488" spans="1:24" ht="15.6">
      <c r="A488" s="1509" t="s">
        <v>31</v>
      </c>
      <c r="B488" s="1509"/>
      <c r="C488" s="1509"/>
      <c r="D488" s="1509" t="s">
        <v>32</v>
      </c>
      <c r="E488" s="1509"/>
      <c r="F488" s="1509"/>
      <c r="G488" s="51"/>
      <c r="H488" s="1509" t="s">
        <v>33</v>
      </c>
      <c r="I488" s="1509"/>
      <c r="N488" s="1502"/>
      <c r="O488" s="1502"/>
      <c r="P488" s="1502" t="str">
        <f>IF(AND(P487&gt;0,Q487&lt;&gt;1),CHOOSE(P487,"satu","dua","tiga","empat","lima","enam","tujuh","delapan","sembilan"),"")</f>
        <v/>
      </c>
      <c r="Q488" s="1502" t="str">
        <f>IF(Q487&gt;0,CHOOSE(Q487,CHOOSE(P487+1,"se","se","dua","tiga","empat","lima","enam","tujuh","delapan","sembilan"),"dua","tiga","empat","lima","enam","tujuh","delapan","sembilan"),"")</f>
        <v/>
      </c>
      <c r="R488" s="1502" t="str">
        <f>IF(R487&gt;0,CHOOSE(R487,"se","dua","tiga","empat","lima","enam","tujuh","delapan","sembilan"),"")</f>
        <v/>
      </c>
      <c r="S488" s="1502" t="str">
        <f>IF(AND(S487&gt;0,T487&lt;&gt;1),CHOOSE(S487,"satu","dua","tiga","empat","lima","enam","tujuh","delapan","sembilan"),"")</f>
        <v>delapan</v>
      </c>
      <c r="T488" s="1502" t="str">
        <f>IF(T487&gt;0,CHOOSE(T487,CHOOSE(S487+1,"se","se","dua","tiga","empat","lima","enam","tujuh","delapan","sembilan"),"dua","tiga","empat","lima","enam","tujuh","delapan","sembilan"),"")</f>
        <v>sembilan</v>
      </c>
      <c r="U488" s="1502" t="str">
        <f>IF(U487&gt;0,CHOOSE(U487,"se","dua","tiga","empat","lima","enam","tujuh","delapan","sembilan"),"")</f>
        <v>enam</v>
      </c>
      <c r="V488" s="1503" t="str">
        <f>IF(AND(V487&gt;0,W487&lt;&gt;1),CHOOSE(V487,"satu","dua","tiga","empat","lima","enam","tujuh","delapan","sembilan"),"")</f>
        <v>satu</v>
      </c>
      <c r="W488" s="1502" t="str">
        <f>IF(W487&gt;0,CHOOSE(W487,CHOOSE(V487+1,"se","se","dua","tiga","empat","lima","enam","tujuh","delapan","sembilan"),"dua","tiga","empat","lima","enam","tujuh","delapan","sembilan"),"")</f>
        <v>dua</v>
      </c>
      <c r="X488" s="1502" t="str">
        <f>IF(X487&gt;0,CHOOSE(X487,"se","dua","tiga","empat","lima","enam","tujuh","delapan","sembilan"),"")</f>
        <v/>
      </c>
    </row>
    <row r="489" spans="1:24" ht="15.6">
      <c r="A489" s="51"/>
      <c r="B489" s="51"/>
      <c r="C489" s="51"/>
      <c r="D489" s="1472"/>
      <c r="E489" s="51"/>
      <c r="F489" s="51"/>
      <c r="G489" s="51"/>
      <c r="H489" s="51"/>
      <c r="I489" s="51"/>
      <c r="N489" s="1502"/>
      <c r="O489" s="1502"/>
      <c r="P489" s="1502"/>
      <c r="Q489" s="1502" t="str">
        <f>IF(Q487&gt;0,IF(AND(Q487=1,P487&gt;0)," belas "," puluh "),"")</f>
        <v/>
      </c>
      <c r="R489" s="1502" t="str">
        <f>IF(R487&gt;0," ratus ","")</f>
        <v/>
      </c>
      <c r="S489" s="1502" t="str">
        <f>IF(SUM(S487,U487)&gt;0," ribu ","")</f>
        <v xml:space="preserve"> ribu </v>
      </c>
      <c r="T489" s="1502" t="str">
        <f>IF(T487&gt;0,IF(AND(T487=1,S487&gt;0)," belas "," puluh "),"")</f>
        <v xml:space="preserve"> puluh </v>
      </c>
      <c r="U489" s="1502" t="str">
        <f>IF(U487&gt;0," ratus ","")</f>
        <v xml:space="preserve"> ratus </v>
      </c>
      <c r="V489" s="1503" t="str">
        <f>IF(SUM(V487:X487)&gt;0," juta ","")</f>
        <v xml:space="preserve"> juta </v>
      </c>
      <c r="W489" s="1502" t="str">
        <f>IF(W487&gt;0,IF(AND(W487=1,V487&gt;0)," belas "," puluh "),"")</f>
        <v xml:space="preserve"> puluh </v>
      </c>
      <c r="X489" s="1502" t="str">
        <f>IF(X487&gt;0," ratus ","")</f>
        <v/>
      </c>
    </row>
    <row r="490" spans="1:24" ht="15.6">
      <c r="A490" s="51"/>
      <c r="B490" s="51"/>
      <c r="C490" s="51"/>
      <c r="D490" s="1472"/>
      <c r="E490" s="51"/>
      <c r="F490" s="51"/>
      <c r="G490" s="51"/>
      <c r="H490" s="51"/>
      <c r="I490" s="51"/>
      <c r="N490" s="1502"/>
      <c r="O490" s="1502"/>
      <c r="P490" s="1502" t="str">
        <f>CONCATENATE(P488,P483)</f>
        <v/>
      </c>
      <c r="Q490" s="1502" t="str">
        <f t="shared" ref="Q490:X490" si="31">CONCATENATE(Q488,Q489)</f>
        <v/>
      </c>
      <c r="R490" s="1502" t="str">
        <f t="shared" si="31"/>
        <v/>
      </c>
      <c r="S490" s="1502" t="str">
        <f t="shared" si="31"/>
        <v xml:space="preserve">delapan ribu </v>
      </c>
      <c r="T490" s="1502" t="str">
        <f t="shared" si="31"/>
        <v xml:space="preserve">sembilan puluh </v>
      </c>
      <c r="U490" s="1502" t="str">
        <f t="shared" si="31"/>
        <v xml:space="preserve">enam ratus </v>
      </c>
      <c r="V490" s="1503" t="str">
        <f t="shared" si="31"/>
        <v xml:space="preserve">satu juta </v>
      </c>
      <c r="W490" s="1502" t="str">
        <f t="shared" si="31"/>
        <v xml:space="preserve">dua puluh </v>
      </c>
      <c r="X490" s="1502" t="str">
        <f t="shared" si="31"/>
        <v/>
      </c>
    </row>
    <row r="491" spans="1:24" ht="15.6">
      <c r="A491" s="51"/>
      <c r="B491" s="51"/>
      <c r="C491" s="51"/>
      <c r="D491" s="1472"/>
      <c r="E491" s="51"/>
      <c r="F491" s="51"/>
      <c r="G491" s="51"/>
      <c r="H491" s="51"/>
      <c r="I491" s="51"/>
      <c r="N491" s="1502"/>
      <c r="O491" s="1502"/>
      <c r="P491" s="1502"/>
      <c r="Q491" s="1502"/>
      <c r="R491" s="1502"/>
      <c r="S491" s="1502"/>
      <c r="T491" s="1502"/>
      <c r="U491" s="1502"/>
      <c r="V491" s="1503"/>
      <c r="W491" s="1502"/>
      <c r="X491" s="1502"/>
    </row>
    <row r="492" spans="1:24" ht="15.6">
      <c r="A492" s="1512" t="s">
        <v>2470</v>
      </c>
      <c r="B492" s="1512"/>
      <c r="C492" s="1512"/>
      <c r="D492" s="1512" t="s">
        <v>2468</v>
      </c>
      <c r="E492" s="1512"/>
      <c r="F492" s="1512"/>
      <c r="G492" s="51"/>
      <c r="H492" s="1512" t="s">
        <v>2257</v>
      </c>
      <c r="I492" s="1512"/>
      <c r="N492" s="1504" t="str">
        <f>PROPER(CONCATENATE(X490,W490,V490,U490,T490,S490,R490,Q490,P490,N485))</f>
        <v>Dua Puluh Satu Juta Enam Ratus Sembilan Puluh Delapan Ribu Rupiah</v>
      </c>
      <c r="O492" s="1502"/>
      <c r="P492" s="1502"/>
      <c r="Q492" s="1502"/>
      <c r="R492" s="1502"/>
      <c r="S492" s="1502"/>
      <c r="T492" s="1502"/>
      <c r="U492" s="1502"/>
      <c r="V492" s="1503"/>
      <c r="W492" s="1502"/>
      <c r="X492" s="1502"/>
    </row>
    <row r="493" spans="1:24" ht="15.6">
      <c r="A493" s="1509" t="s">
        <v>2247</v>
      </c>
      <c r="B493" s="1509"/>
      <c r="C493" s="1509"/>
      <c r="D493" s="1509" t="s">
        <v>2469</v>
      </c>
      <c r="E493" s="1509"/>
      <c r="F493" s="1509"/>
      <c r="G493" s="51"/>
      <c r="H493" s="1509" t="s">
        <v>39</v>
      </c>
      <c r="I493" s="1509"/>
    </row>
    <row r="496" spans="1:24" ht="33.6">
      <c r="A496" s="597"/>
      <c r="B496" s="1524" t="s">
        <v>235</v>
      </c>
      <c r="C496" s="1524"/>
      <c r="D496" s="1524"/>
      <c r="E496" s="1524"/>
      <c r="F496" s="1524"/>
      <c r="G496" s="1524"/>
      <c r="H496" s="1524"/>
      <c r="I496" s="1524"/>
    </row>
    <row r="497" spans="1:13" ht="24.75" customHeight="1">
      <c r="A497" s="597"/>
      <c r="B497" s="1525" t="s">
        <v>2416</v>
      </c>
      <c r="C497" s="1525"/>
      <c r="D497" s="1525"/>
      <c r="E497" s="1525"/>
      <c r="F497" s="1525"/>
      <c r="G497" s="1525"/>
      <c r="H497" s="1525"/>
      <c r="I497" s="1525"/>
    </row>
    <row r="498" spans="1:13" ht="25.8">
      <c r="A498" s="830"/>
      <c r="B498" s="1526" t="s">
        <v>2417</v>
      </c>
      <c r="C498" s="1526"/>
      <c r="D498" s="1526"/>
      <c r="E498" s="1526"/>
      <c r="F498" s="1526"/>
      <c r="G498" s="1526"/>
      <c r="H498" s="1526"/>
      <c r="I498" s="1526"/>
    </row>
    <row r="499" spans="1:13" ht="15.6">
      <c r="A499" s="1475"/>
      <c r="B499" s="1475"/>
      <c r="C499" s="1475"/>
      <c r="D499" s="1475"/>
      <c r="E499" s="1475"/>
      <c r="F499" s="1475"/>
      <c r="G499" s="1475"/>
      <c r="H499" s="1475"/>
      <c r="I499" s="1475"/>
    </row>
    <row r="500" spans="1:13" ht="15.6">
      <c r="A500" s="1516" t="s">
        <v>3</v>
      </c>
      <c r="B500" s="1518" t="s">
        <v>4</v>
      </c>
      <c r="C500" s="1519"/>
      <c r="D500" s="1516" t="s">
        <v>5</v>
      </c>
      <c r="E500" s="1516" t="s">
        <v>6</v>
      </c>
      <c r="F500" s="1516" t="s">
        <v>7</v>
      </c>
      <c r="G500" s="770" t="s">
        <v>8</v>
      </c>
      <c r="H500" s="770" t="s">
        <v>9</v>
      </c>
      <c r="I500" s="770" t="s">
        <v>10</v>
      </c>
    </row>
    <row r="501" spans="1:13" ht="15.6">
      <c r="A501" s="1517"/>
      <c r="B501" s="1520"/>
      <c r="C501" s="1521"/>
      <c r="D501" s="1517"/>
      <c r="E501" s="1517"/>
      <c r="F501" s="1517"/>
      <c r="G501" s="771" t="s">
        <v>11</v>
      </c>
      <c r="H501" s="771" t="s">
        <v>11</v>
      </c>
      <c r="I501" s="771" t="s">
        <v>11</v>
      </c>
    </row>
    <row r="502" spans="1:13" ht="15.6">
      <c r="A502" s="770" t="s">
        <v>12</v>
      </c>
      <c r="B502" s="1393" t="s">
        <v>364</v>
      </c>
      <c r="C502" s="1390"/>
      <c r="D502" s="1369"/>
      <c r="E502" s="774"/>
      <c r="F502" s="774"/>
      <c r="G502" s="774"/>
      <c r="H502" s="775"/>
      <c r="I502" s="776"/>
    </row>
    <row r="503" spans="1:13" s="1378" customFormat="1" ht="21" customHeight="1">
      <c r="A503" s="1374">
        <v>1</v>
      </c>
      <c r="B503" s="1510" t="s">
        <v>2418</v>
      </c>
      <c r="C503" s="1511"/>
      <c r="D503" s="1375">
        <v>1</v>
      </c>
      <c r="E503" s="1374" t="s">
        <v>334</v>
      </c>
      <c r="F503" s="1374" t="s">
        <v>16</v>
      </c>
      <c r="G503" s="1376">
        <v>1380000</v>
      </c>
      <c r="H503" s="1376">
        <f>+G503*D503</f>
        <v>1380000</v>
      </c>
      <c r="I503" s="1377"/>
      <c r="M503" s="1378">
        <f>280000/6</f>
        <v>46666.666666666664</v>
      </c>
    </row>
    <row r="504" spans="1:13" ht="15.6">
      <c r="A504" s="780">
        <f>+A503+1</f>
        <v>2</v>
      </c>
      <c r="B504" s="820" t="s">
        <v>2423</v>
      </c>
      <c r="C504" s="1391"/>
      <c r="D504" s="779">
        <v>2</v>
      </c>
      <c r="E504" s="780" t="s">
        <v>334</v>
      </c>
      <c r="F504" s="780" t="s">
        <v>16</v>
      </c>
      <c r="G504" s="791">
        <v>200000</v>
      </c>
      <c r="H504" s="791">
        <f>+G504*D504</f>
        <v>400000</v>
      </c>
      <c r="I504" s="971"/>
    </row>
    <row r="505" spans="1:13" ht="15.6">
      <c r="A505" s="780">
        <f t="shared" ref="A505:A510" si="32">+A504+1</f>
        <v>3</v>
      </c>
      <c r="B505" s="820" t="s">
        <v>2422</v>
      </c>
      <c r="C505" s="1391"/>
      <c r="D505" s="779">
        <v>1</v>
      </c>
      <c r="E505" s="780" t="s">
        <v>334</v>
      </c>
      <c r="F505" s="780" t="s">
        <v>16</v>
      </c>
      <c r="G505" s="791">
        <v>975000</v>
      </c>
      <c r="H505" s="791">
        <f>+G505*D505</f>
        <v>975000</v>
      </c>
      <c r="I505" s="971"/>
    </row>
    <row r="506" spans="1:13" ht="15.6">
      <c r="A506" s="780">
        <f t="shared" si="32"/>
        <v>4</v>
      </c>
      <c r="B506" s="820" t="s">
        <v>2425</v>
      </c>
      <c r="C506" s="1391"/>
      <c r="D506" s="779">
        <v>1</v>
      </c>
      <c r="E506" s="780" t="s">
        <v>334</v>
      </c>
      <c r="F506" s="780" t="s">
        <v>16</v>
      </c>
      <c r="G506" s="791">
        <v>250000</v>
      </c>
      <c r="H506" s="791">
        <f t="shared" ref="H506" si="33">+G506*D506</f>
        <v>250000</v>
      </c>
      <c r="I506" s="971"/>
      <c r="K506" s="1">
        <f>24*3*2</f>
        <v>144</v>
      </c>
    </row>
    <row r="507" spans="1:13" ht="15.6">
      <c r="A507" s="780">
        <f t="shared" si="32"/>
        <v>5</v>
      </c>
      <c r="B507" s="820" t="s">
        <v>2420</v>
      </c>
      <c r="C507" s="1391"/>
      <c r="D507" s="779">
        <v>1</v>
      </c>
      <c r="E507" s="780" t="s">
        <v>334</v>
      </c>
      <c r="F507" s="780" t="s">
        <v>16</v>
      </c>
      <c r="G507" s="791">
        <v>700000</v>
      </c>
      <c r="H507" s="791">
        <f>G507*D507</f>
        <v>700000</v>
      </c>
      <c r="I507" s="971"/>
    </row>
    <row r="508" spans="1:13" ht="15.6">
      <c r="A508" s="780">
        <f t="shared" si="32"/>
        <v>6</v>
      </c>
      <c r="B508" s="820" t="s">
        <v>2424</v>
      </c>
      <c r="C508" s="1391"/>
      <c r="D508" s="779">
        <v>60</v>
      </c>
      <c r="E508" s="780" t="s">
        <v>179</v>
      </c>
      <c r="F508" s="780" t="s">
        <v>16</v>
      </c>
      <c r="G508" s="791">
        <v>10000</v>
      </c>
      <c r="H508" s="791">
        <f>G508*D508</f>
        <v>600000</v>
      </c>
      <c r="I508" s="971"/>
    </row>
    <row r="509" spans="1:13" s="1378" customFormat="1" ht="35.25" customHeight="1">
      <c r="A509" s="780">
        <f t="shared" si="32"/>
        <v>7</v>
      </c>
      <c r="B509" s="1522" t="s">
        <v>2426</v>
      </c>
      <c r="C509" s="1523"/>
      <c r="D509" s="1375">
        <v>1</v>
      </c>
      <c r="E509" s="1374" t="s">
        <v>334</v>
      </c>
      <c r="F509" s="1374" t="s">
        <v>16</v>
      </c>
      <c r="G509" s="1376">
        <v>350000</v>
      </c>
      <c r="H509" s="1376">
        <f t="shared" ref="H509:H510" si="34">+G509*D509</f>
        <v>350000</v>
      </c>
      <c r="I509" s="1377"/>
      <c r="K509" s="1476">
        <f>24*10*0.5</f>
        <v>120</v>
      </c>
    </row>
    <row r="510" spans="1:13" s="1378" customFormat="1" ht="18" customHeight="1">
      <c r="A510" s="780">
        <f t="shared" si="32"/>
        <v>8</v>
      </c>
      <c r="B510" s="1510" t="s">
        <v>2421</v>
      </c>
      <c r="C510" s="1511"/>
      <c r="D510" s="1375">
        <v>1</v>
      </c>
      <c r="E510" s="1374" t="s">
        <v>51</v>
      </c>
      <c r="F510" s="1374" t="s">
        <v>16</v>
      </c>
      <c r="G510" s="1376">
        <v>200000</v>
      </c>
      <c r="H510" s="1376">
        <f t="shared" si="34"/>
        <v>200000</v>
      </c>
      <c r="I510" s="1377"/>
      <c r="K510" s="1378">
        <f>24*3*2</f>
        <v>144</v>
      </c>
    </row>
    <row r="511" spans="1:13" ht="15.6">
      <c r="A511" s="814"/>
      <c r="B511" s="820"/>
      <c r="C511" s="1391"/>
      <c r="D511" s="782"/>
      <c r="E511" s="780"/>
      <c r="F511" s="780"/>
      <c r="G511" s="781"/>
      <c r="H511" s="817"/>
      <c r="I511" s="818">
        <f>SUM(H503:H511)</f>
        <v>4855000</v>
      </c>
    </row>
    <row r="512" spans="1:13" ht="15.6">
      <c r="A512" s="786" t="s">
        <v>18</v>
      </c>
      <c r="B512" s="1393" t="s">
        <v>19</v>
      </c>
      <c r="C512" s="1390"/>
      <c r="D512" s="1369"/>
      <c r="E512" s="1370"/>
      <c r="F512" s="1370"/>
      <c r="G512" s="1371"/>
      <c r="H512" s="781"/>
      <c r="I512" s="1133"/>
      <c r="K512" s="1">
        <f>21*3*2</f>
        <v>126</v>
      </c>
    </row>
    <row r="513" spans="1:9" ht="15.6">
      <c r="A513" s="790">
        <v>1</v>
      </c>
      <c r="B513" s="820" t="s">
        <v>2419</v>
      </c>
      <c r="C513" s="1391"/>
      <c r="D513" s="779">
        <v>2</v>
      </c>
      <c r="E513" s="780" t="s">
        <v>414</v>
      </c>
      <c r="F513" s="780" t="s">
        <v>51</v>
      </c>
      <c r="G513" s="788">
        <v>250000</v>
      </c>
      <c r="H513" s="788">
        <f>G513*D513</f>
        <v>500000</v>
      </c>
      <c r="I513" s="789"/>
    </row>
    <row r="514" spans="1:9" ht="15.6">
      <c r="A514" s="790"/>
      <c r="B514" s="1394"/>
      <c r="C514" s="1392"/>
      <c r="D514" s="791"/>
      <c r="E514" s="780"/>
      <c r="F514" s="780"/>
      <c r="G514" s="788"/>
      <c r="H514" s="788"/>
      <c r="I514" s="807">
        <f>SUM(H513:H513)</f>
        <v>500000</v>
      </c>
    </row>
    <row r="515" spans="1:9" ht="15.6">
      <c r="A515" s="793"/>
      <c r="B515" s="783"/>
      <c r="C515" s="783"/>
      <c r="D515" s="1410"/>
      <c r="E515" s="795"/>
      <c r="F515" s="811"/>
      <c r="G515" s="811" t="s">
        <v>25</v>
      </c>
      <c r="H515" s="813"/>
      <c r="I515" s="810">
        <f>I511+I514</f>
        <v>5355000</v>
      </c>
    </row>
    <row r="516" spans="1:9" ht="15.6">
      <c r="A516" s="820"/>
      <c r="B516" s="821"/>
      <c r="C516" s="821"/>
      <c r="D516" s="822"/>
      <c r="E516" s="822"/>
      <c r="F516" s="823"/>
      <c r="G516" s="819"/>
      <c r="H516" s="964"/>
      <c r="I516" s="1372"/>
    </row>
    <row r="517" spans="1:9" ht="15.6">
      <c r="A517" s="796"/>
      <c r="B517" s="797"/>
      <c r="C517" s="797"/>
      <c r="D517" s="784"/>
      <c r="E517" s="784"/>
      <c r="F517" s="785"/>
      <c r="G517" s="812"/>
      <c r="H517" s="798"/>
      <c r="I517" s="826"/>
    </row>
    <row r="518" spans="1:9" ht="15.6">
      <c r="A518" s="799"/>
      <c r="B518" s="800" t="s">
        <v>549</v>
      </c>
      <c r="C518" s="800"/>
      <c r="D518" s="1411"/>
      <c r="E518" s="800"/>
      <c r="F518" s="800"/>
      <c r="G518" s="801"/>
      <c r="H518" s="828" t="s">
        <v>28</v>
      </c>
      <c r="I518" s="775">
        <f>I515</f>
        <v>5355000</v>
      </c>
    </row>
    <row r="519" spans="1:9" ht="15.6">
      <c r="A519" s="802"/>
      <c r="B519" s="1398" t="s">
        <v>2427</v>
      </c>
      <c r="C519" s="803"/>
      <c r="D519" s="1412"/>
      <c r="E519" s="804"/>
      <c r="F519" s="804"/>
      <c r="G519" s="805"/>
      <c r="H519" s="829" t="s">
        <v>30</v>
      </c>
      <c r="I519" s="807">
        <f>ROUND(I518,-3)</f>
        <v>5355000</v>
      </c>
    </row>
    <row r="520" spans="1:9" ht="15.6">
      <c r="A520" s="49"/>
      <c r="B520" s="49"/>
      <c r="C520" s="49"/>
      <c r="D520" s="823"/>
      <c r="E520" s="49"/>
      <c r="F520" s="49"/>
      <c r="G520" s="49"/>
      <c r="H520" s="49"/>
      <c r="I520" s="50"/>
    </row>
    <row r="521" spans="1:9" ht="15.6">
      <c r="A521" s="51"/>
      <c r="B521" s="51"/>
      <c r="C521" s="51"/>
      <c r="D521" s="1474"/>
      <c r="E521" s="51"/>
      <c r="F521" s="51"/>
      <c r="G521" s="51"/>
      <c r="H521" s="1509" t="s">
        <v>2409</v>
      </c>
      <c r="I521" s="1509"/>
    </row>
    <row r="522" spans="1:9" ht="15.6">
      <c r="A522" s="1509" t="s">
        <v>31</v>
      </c>
      <c r="B522" s="1509"/>
      <c r="C522" s="1509"/>
      <c r="D522" s="1509" t="s">
        <v>32</v>
      </c>
      <c r="E522" s="1509"/>
      <c r="F522" s="1509"/>
      <c r="G522" s="51"/>
      <c r="H522" s="1509" t="s">
        <v>33</v>
      </c>
      <c r="I522" s="1509"/>
    </row>
    <row r="523" spans="1:9" ht="15.6">
      <c r="A523" s="51"/>
      <c r="B523" s="51"/>
      <c r="C523" s="51"/>
      <c r="D523" s="1474"/>
      <c r="E523" s="51"/>
      <c r="F523" s="51"/>
      <c r="G523" s="51"/>
      <c r="H523" s="51"/>
      <c r="I523" s="51"/>
    </row>
    <row r="524" spans="1:9" ht="15.6">
      <c r="A524" s="51"/>
      <c r="B524" s="51"/>
      <c r="C524" s="51"/>
      <c r="D524" s="1474"/>
      <c r="E524" s="51"/>
      <c r="F524" s="51"/>
      <c r="G524" s="51"/>
      <c r="H524" s="51"/>
      <c r="I524" s="51"/>
    </row>
    <row r="525" spans="1:9" ht="15.6">
      <c r="A525" s="51"/>
      <c r="B525" s="51"/>
      <c r="C525" s="51"/>
      <c r="D525" s="1474"/>
      <c r="E525" s="51"/>
      <c r="F525" s="51"/>
      <c r="G525" s="51"/>
      <c r="H525" s="51"/>
      <c r="I525" s="51"/>
    </row>
    <row r="526" spans="1:9" ht="15.6">
      <c r="A526" s="1512" t="s">
        <v>2256</v>
      </c>
      <c r="B526" s="1512"/>
      <c r="C526" s="1512"/>
      <c r="D526" s="1512" t="s">
        <v>2309</v>
      </c>
      <c r="E526" s="1512"/>
      <c r="F526" s="1512"/>
      <c r="G526" s="51"/>
      <c r="H526" s="1512" t="s">
        <v>2257</v>
      </c>
      <c r="I526" s="1512"/>
    </row>
    <row r="527" spans="1:9" ht="15.6">
      <c r="A527" s="1509" t="s">
        <v>2247</v>
      </c>
      <c r="B527" s="1509"/>
      <c r="C527" s="1509"/>
      <c r="D527" s="1509" t="s">
        <v>2235</v>
      </c>
      <c r="E527" s="1509"/>
      <c r="F527" s="1509"/>
      <c r="G527" s="51"/>
      <c r="H527" s="1509" t="s">
        <v>39</v>
      </c>
      <c r="I527" s="1509"/>
    </row>
    <row r="530" spans="1:14" ht="28.8">
      <c r="A530" s="1513" t="s">
        <v>1705</v>
      </c>
      <c r="B530" s="1513"/>
      <c r="C530" s="1513"/>
      <c r="D530" s="1513"/>
      <c r="E530" s="1513"/>
      <c r="F530" s="1513"/>
      <c r="G530" s="1513"/>
      <c r="H530" s="1513"/>
      <c r="I530" s="1513"/>
    </row>
    <row r="531" spans="1:14" s="1141" customFormat="1" ht="24.75" customHeight="1">
      <c r="A531" s="830" t="s">
        <v>2278</v>
      </c>
      <c r="C531" s="1514" t="s">
        <v>2311</v>
      </c>
      <c r="D531" s="1514"/>
      <c r="E531" s="1514"/>
      <c r="F531" s="1514"/>
      <c r="G531" s="1514"/>
      <c r="H531" s="1514"/>
      <c r="I531" s="1514"/>
    </row>
    <row r="532" spans="1:14" s="1141" customFormat="1" ht="21">
      <c r="A532" s="830" t="s">
        <v>1208</v>
      </c>
      <c r="C532" s="1515" t="s">
        <v>2285</v>
      </c>
      <c r="D532" s="1515"/>
      <c r="E532" s="1515"/>
      <c r="F532" s="1515"/>
      <c r="G532" s="1515"/>
      <c r="H532" s="1515"/>
      <c r="I532" s="1515"/>
    </row>
    <row r="533" spans="1:14" ht="15.6">
      <c r="A533" s="1478"/>
      <c r="B533" s="1478"/>
      <c r="C533" s="1478"/>
      <c r="D533" s="1478"/>
      <c r="E533" s="1478"/>
      <c r="F533" s="1478"/>
      <c r="G533" s="1478"/>
      <c r="H533" s="1478"/>
      <c r="I533" s="1478"/>
    </row>
    <row r="534" spans="1:14" ht="15.6">
      <c r="A534" s="1516" t="s">
        <v>3</v>
      </c>
      <c r="B534" s="1518" t="s">
        <v>4</v>
      </c>
      <c r="C534" s="1519"/>
      <c r="D534" s="1516" t="s">
        <v>5</v>
      </c>
      <c r="E534" s="1516" t="s">
        <v>6</v>
      </c>
      <c r="F534" s="1516" t="s">
        <v>7</v>
      </c>
      <c r="G534" s="770" t="s">
        <v>8</v>
      </c>
      <c r="H534" s="770" t="s">
        <v>9</v>
      </c>
      <c r="I534" s="770" t="s">
        <v>10</v>
      </c>
    </row>
    <row r="535" spans="1:14" ht="15.6">
      <c r="A535" s="1517"/>
      <c r="B535" s="1520"/>
      <c r="C535" s="1521"/>
      <c r="D535" s="1517"/>
      <c r="E535" s="1517"/>
      <c r="F535" s="1517"/>
      <c r="G535" s="771" t="s">
        <v>11</v>
      </c>
      <c r="H535" s="771" t="s">
        <v>11</v>
      </c>
      <c r="I535" s="771" t="s">
        <v>11</v>
      </c>
    </row>
    <row r="536" spans="1:14" s="808" customFormat="1" ht="15.6">
      <c r="A536" s="770" t="s">
        <v>2287</v>
      </c>
      <c r="B536" s="1404" t="s">
        <v>2286</v>
      </c>
      <c r="C536" s="1390"/>
      <c r="D536" s="1369"/>
      <c r="E536" s="774"/>
      <c r="F536" s="774"/>
      <c r="G536" s="774"/>
      <c r="H536" s="775"/>
      <c r="I536" s="776"/>
    </row>
    <row r="537" spans="1:14" s="808" customFormat="1" ht="15.6">
      <c r="A537" s="786" t="s">
        <v>12</v>
      </c>
      <c r="B537" s="1421" t="s">
        <v>13</v>
      </c>
      <c r="C537" s="1422"/>
      <c r="D537" s="782"/>
      <c r="E537" s="778"/>
      <c r="F537" s="778"/>
      <c r="G537" s="778"/>
      <c r="H537" s="810"/>
      <c r="I537" s="789"/>
    </row>
    <row r="538" spans="1:14" s="1417" customFormat="1" ht="18.75" customHeight="1">
      <c r="A538" s="1374">
        <v>1</v>
      </c>
      <c r="B538" s="1527" t="s">
        <v>2429</v>
      </c>
      <c r="C538" s="1528"/>
      <c r="D538" s="1375">
        <v>1</v>
      </c>
      <c r="E538" s="1374" t="s">
        <v>44</v>
      </c>
      <c r="F538" s="1374" t="s">
        <v>16</v>
      </c>
      <c r="G538" s="1376">
        <v>1312000</v>
      </c>
      <c r="H538" s="1376">
        <f>+G538*D538</f>
        <v>1312000</v>
      </c>
      <c r="I538" s="1377"/>
      <c r="M538" s="1417">
        <f>280000/6</f>
        <v>46666.666666666664</v>
      </c>
      <c r="N538" s="1417">
        <f>15*2.5</f>
        <v>37.5</v>
      </c>
    </row>
    <row r="539" spans="1:14" s="1418" customFormat="1" ht="18.75" customHeight="1">
      <c r="A539" s="1374">
        <f>+A538+1</f>
        <v>2</v>
      </c>
      <c r="B539" s="1527" t="s">
        <v>2289</v>
      </c>
      <c r="C539" s="1528"/>
      <c r="D539" s="1375">
        <v>1</v>
      </c>
      <c r="E539" s="1374" t="s">
        <v>2288</v>
      </c>
      <c r="F539" s="1374" t="s">
        <v>16</v>
      </c>
      <c r="G539" s="1395">
        <v>178000</v>
      </c>
      <c r="H539" s="1395">
        <f>+G539*D539</f>
        <v>178000</v>
      </c>
      <c r="I539" s="1396"/>
    </row>
    <row r="540" spans="1:14" s="808" customFormat="1" ht="15.6">
      <c r="A540" s="1374">
        <f>+A539+1</f>
        <v>3</v>
      </c>
      <c r="B540" s="1483" t="s">
        <v>2134</v>
      </c>
      <c r="C540" s="1425"/>
      <c r="D540" s="1375">
        <v>8</v>
      </c>
      <c r="E540" s="780" t="s">
        <v>44</v>
      </c>
      <c r="F540" s="780" t="s">
        <v>16</v>
      </c>
      <c r="G540" s="1405">
        <v>5000</v>
      </c>
      <c r="H540" s="1406">
        <f>G540*D540</f>
        <v>40000</v>
      </c>
      <c r="I540" s="1133"/>
    </row>
    <row r="541" spans="1:14" s="808" customFormat="1" ht="15.6">
      <c r="A541" s="814"/>
      <c r="B541" s="1424"/>
      <c r="C541" s="1425"/>
      <c r="D541" s="782"/>
      <c r="E541" s="780"/>
      <c r="F541" s="780"/>
      <c r="G541" s="781"/>
      <c r="H541" s="817"/>
      <c r="I541" s="818">
        <f>SUM(H538:H540)</f>
        <v>1530000</v>
      </c>
    </row>
    <row r="542" spans="1:14" s="808" customFormat="1" ht="15.6">
      <c r="A542" s="786" t="s">
        <v>18</v>
      </c>
      <c r="B542" s="1426" t="s">
        <v>2430</v>
      </c>
      <c r="C542" s="1427"/>
      <c r="D542" s="1369"/>
      <c r="E542" s="1370"/>
      <c r="F542" s="1370"/>
      <c r="G542" s="1371"/>
      <c r="H542" s="781"/>
      <c r="I542" s="1133"/>
      <c r="K542" s="808">
        <f>21*3*2</f>
        <v>126</v>
      </c>
    </row>
    <row r="543" spans="1:14" s="808" customFormat="1" ht="15.6">
      <c r="A543" s="790">
        <v>1</v>
      </c>
      <c r="B543" s="1483" t="s">
        <v>2431</v>
      </c>
      <c r="C543" s="1425"/>
      <c r="D543" s="1415">
        <v>1</v>
      </c>
      <c r="E543" s="780" t="s">
        <v>2432</v>
      </c>
      <c r="F543" s="780" t="s">
        <v>16</v>
      </c>
      <c r="G543" s="788">
        <v>202500</v>
      </c>
      <c r="H543" s="788">
        <f>+G543</f>
        <v>202500</v>
      </c>
      <c r="I543" s="789"/>
    </row>
    <row r="544" spans="1:14" s="808" customFormat="1" ht="15.6">
      <c r="A544" s="790">
        <f>A543+1</f>
        <v>2</v>
      </c>
      <c r="B544" s="1483" t="s">
        <v>2433</v>
      </c>
      <c r="C544" s="1425"/>
      <c r="D544" s="997">
        <v>2</v>
      </c>
      <c r="E544" s="780" t="s">
        <v>2432</v>
      </c>
      <c r="F544" s="780" t="s">
        <v>16</v>
      </c>
      <c r="G544" s="788">
        <v>135000</v>
      </c>
      <c r="H544" s="788">
        <f>G544*D544</f>
        <v>270000</v>
      </c>
      <c r="I544" s="789"/>
    </row>
    <row r="545" spans="1:14" s="808" customFormat="1" ht="15.6">
      <c r="A545" s="790"/>
      <c r="B545" s="1394"/>
      <c r="C545" s="1392"/>
      <c r="D545" s="791"/>
      <c r="E545" s="780"/>
      <c r="F545" s="780"/>
      <c r="G545" s="788"/>
      <c r="H545" s="788"/>
      <c r="I545" s="807">
        <f>SUM(H543:H544)</f>
        <v>472500</v>
      </c>
    </row>
    <row r="546" spans="1:14" s="808" customFormat="1" ht="15.6">
      <c r="A546" s="770" t="s">
        <v>2298</v>
      </c>
      <c r="B546" s="1404" t="s">
        <v>2299</v>
      </c>
      <c r="C546" s="1390"/>
      <c r="D546" s="1369"/>
      <c r="E546" s="774"/>
      <c r="F546" s="774"/>
      <c r="G546" s="774"/>
      <c r="H546" s="775"/>
      <c r="I546" s="776"/>
    </row>
    <row r="547" spans="1:14" s="808" customFormat="1" ht="15.6">
      <c r="A547" s="786" t="s">
        <v>12</v>
      </c>
      <c r="B547" s="1421" t="s">
        <v>13</v>
      </c>
      <c r="C547" s="1422"/>
      <c r="D547" s="782"/>
      <c r="E547" s="778"/>
      <c r="F547" s="778"/>
      <c r="G547" s="778"/>
      <c r="H547" s="810"/>
      <c r="I547" s="789"/>
    </row>
    <row r="548" spans="1:14" s="1417" customFormat="1" ht="18.75" customHeight="1">
      <c r="A548" s="1374">
        <v>1</v>
      </c>
      <c r="B548" s="1527" t="s">
        <v>2434</v>
      </c>
      <c r="C548" s="1528"/>
      <c r="D548" s="1375">
        <v>1</v>
      </c>
      <c r="E548" s="1374" t="s">
        <v>403</v>
      </c>
      <c r="F548" s="1374" t="s">
        <v>16</v>
      </c>
      <c r="G548" s="1376">
        <v>1880000</v>
      </c>
      <c r="H548" s="1376">
        <f>+G548*D548</f>
        <v>1880000</v>
      </c>
      <c r="I548" s="1377"/>
      <c r="M548" s="1417">
        <f>280000/6</f>
        <v>46666.666666666664</v>
      </c>
      <c r="N548" s="1417">
        <f>15*2.5</f>
        <v>37.5</v>
      </c>
    </row>
    <row r="549" spans="1:14" s="1418" customFormat="1" ht="18.75" customHeight="1">
      <c r="A549" s="1374">
        <f>+A548+1</f>
        <v>2</v>
      </c>
      <c r="B549" s="1527" t="s">
        <v>2289</v>
      </c>
      <c r="C549" s="1528"/>
      <c r="D549" s="1375">
        <v>1</v>
      </c>
      <c r="E549" s="1374" t="s">
        <v>2288</v>
      </c>
      <c r="F549" s="1374" t="s">
        <v>16</v>
      </c>
      <c r="G549" s="1395">
        <v>178000</v>
      </c>
      <c r="H549" s="1395">
        <f>+G549*D549</f>
        <v>178000</v>
      </c>
      <c r="I549" s="1396"/>
    </row>
    <row r="550" spans="1:14" s="808" customFormat="1" ht="15.6">
      <c r="A550" s="1374">
        <f>+A549+1</f>
        <v>3</v>
      </c>
      <c r="B550" s="1483" t="s">
        <v>2134</v>
      </c>
      <c r="C550" s="1425"/>
      <c r="D550" s="1375">
        <v>8</v>
      </c>
      <c r="E550" s="780" t="s">
        <v>44</v>
      </c>
      <c r="F550" s="780" t="s">
        <v>16</v>
      </c>
      <c r="G550" s="1405">
        <v>5000</v>
      </c>
      <c r="H550" s="1406">
        <f>G550*D550</f>
        <v>40000</v>
      </c>
      <c r="I550" s="1133"/>
    </row>
    <row r="551" spans="1:14" s="808" customFormat="1" ht="15.6">
      <c r="A551" s="814"/>
      <c r="B551" s="1424"/>
      <c r="C551" s="1425"/>
      <c r="D551" s="782"/>
      <c r="E551" s="780"/>
      <c r="F551" s="780"/>
      <c r="G551" s="781"/>
      <c r="H551" s="817"/>
      <c r="I551" s="818">
        <f>SUM(H548:H550)</f>
        <v>2098000</v>
      </c>
    </row>
    <row r="552" spans="1:14" s="808" customFormat="1" ht="15.6">
      <c r="A552" s="786" t="s">
        <v>18</v>
      </c>
      <c r="B552" s="1426" t="s">
        <v>2290</v>
      </c>
      <c r="C552" s="1427"/>
      <c r="D552" s="1369"/>
      <c r="E552" s="1370"/>
      <c r="F552" s="1370"/>
      <c r="G552" s="1371"/>
      <c r="H552" s="781"/>
      <c r="I552" s="1133"/>
      <c r="K552" s="808">
        <f>21*3*2</f>
        <v>126</v>
      </c>
    </row>
    <row r="553" spans="1:14" s="808" customFormat="1" ht="15.6">
      <c r="A553" s="790">
        <v>1</v>
      </c>
      <c r="B553" s="1483" t="s">
        <v>2431</v>
      </c>
      <c r="C553" s="1425"/>
      <c r="D553" s="1415">
        <v>1</v>
      </c>
      <c r="E553" s="780" t="s">
        <v>2432</v>
      </c>
      <c r="F553" s="780" t="s">
        <v>16</v>
      </c>
      <c r="G553" s="788">
        <v>202500</v>
      </c>
      <c r="H553" s="788">
        <f>+G553</f>
        <v>202500</v>
      </c>
      <c r="I553" s="789"/>
    </row>
    <row r="554" spans="1:14" s="808" customFormat="1" ht="15.6">
      <c r="A554" s="790">
        <f>A553+1</f>
        <v>2</v>
      </c>
      <c r="B554" s="1483" t="s">
        <v>2433</v>
      </c>
      <c r="C554" s="1425"/>
      <c r="D554" s="997">
        <v>2</v>
      </c>
      <c r="E554" s="780" t="s">
        <v>2432</v>
      </c>
      <c r="F554" s="780" t="s">
        <v>16</v>
      </c>
      <c r="G554" s="788">
        <v>135000</v>
      </c>
      <c r="H554" s="788">
        <f>G554*D554</f>
        <v>270000</v>
      </c>
      <c r="I554" s="789"/>
    </row>
    <row r="555" spans="1:14" s="808" customFormat="1" ht="15.6">
      <c r="A555" s="790"/>
      <c r="B555" s="1394"/>
      <c r="C555" s="1392"/>
      <c r="D555" s="791"/>
      <c r="E555" s="780"/>
      <c r="F555" s="780"/>
      <c r="G555" s="788"/>
      <c r="H555" s="788"/>
      <c r="I555" s="807">
        <f>SUM(H553:H554)</f>
        <v>472500</v>
      </c>
    </row>
    <row r="556" spans="1:14" ht="15.6">
      <c r="A556" s="799"/>
      <c r="B556" s="800" t="s">
        <v>549</v>
      </c>
      <c r="C556" s="800"/>
      <c r="D556" s="1411"/>
      <c r="E556" s="800"/>
      <c r="F556" s="800"/>
      <c r="G556" s="801"/>
      <c r="H556" s="828" t="s">
        <v>28</v>
      </c>
      <c r="I556" s="775">
        <f>SUM(I537:I555)</f>
        <v>4573000</v>
      </c>
    </row>
    <row r="557" spans="1:14" ht="15.6">
      <c r="A557" s="802"/>
      <c r="B557" s="1398" t="s">
        <v>2436</v>
      </c>
      <c r="C557" s="803"/>
      <c r="D557" s="1412"/>
      <c r="E557" s="804"/>
      <c r="F557" s="804"/>
      <c r="G557" s="805"/>
      <c r="H557" s="829" t="s">
        <v>30</v>
      </c>
      <c r="I557" s="807">
        <f>ROUND(I556,-3)</f>
        <v>4573000</v>
      </c>
    </row>
    <row r="558" spans="1:14" ht="15.6">
      <c r="A558" s="49"/>
      <c r="B558" s="49"/>
      <c r="C558" s="49"/>
      <c r="D558" s="823"/>
      <c r="E558" s="49"/>
      <c r="F558" s="49"/>
      <c r="G558" s="49"/>
      <c r="H558" s="49"/>
      <c r="I558" s="50"/>
    </row>
    <row r="559" spans="1:14" ht="15.6">
      <c r="A559" s="51"/>
      <c r="B559" s="51"/>
      <c r="C559" s="51"/>
      <c r="D559" s="1477"/>
      <c r="E559" s="51"/>
      <c r="F559" s="51"/>
      <c r="G559" s="51"/>
      <c r="H559" s="1509" t="s">
        <v>2435</v>
      </c>
      <c r="I559" s="1509"/>
    </row>
    <row r="560" spans="1:14" ht="15.6">
      <c r="A560" s="1509" t="s">
        <v>234</v>
      </c>
      <c r="B560" s="1509"/>
      <c r="C560" s="1509"/>
      <c r="D560" s="1509" t="s">
        <v>32</v>
      </c>
      <c r="E560" s="1509"/>
      <c r="F560" s="1509"/>
      <c r="G560" s="1509"/>
      <c r="H560" s="1509" t="s">
        <v>33</v>
      </c>
      <c r="I560" s="1509"/>
    </row>
    <row r="561" spans="1:14" ht="15.6">
      <c r="A561" s="51"/>
      <c r="B561" s="51"/>
      <c r="C561" s="51"/>
      <c r="D561" s="1477"/>
      <c r="E561" s="51"/>
      <c r="F561" s="51"/>
      <c r="G561" s="51"/>
      <c r="H561" s="51"/>
      <c r="I561" s="51"/>
    </row>
    <row r="562" spans="1:14" ht="15.6">
      <c r="A562" s="51"/>
      <c r="B562" s="51"/>
      <c r="C562" s="51"/>
      <c r="D562" s="1477"/>
      <c r="E562" s="51"/>
      <c r="F562" s="51"/>
      <c r="G562" s="51"/>
      <c r="H562" s="51"/>
      <c r="I562" s="51"/>
    </row>
    <row r="563" spans="1:14" ht="15.6">
      <c r="A563" s="51"/>
      <c r="B563" s="51"/>
      <c r="C563" s="51"/>
      <c r="D563" s="1477"/>
      <c r="E563" s="51"/>
      <c r="F563" s="51"/>
      <c r="G563" s="51"/>
      <c r="H563" s="51"/>
      <c r="I563" s="51"/>
    </row>
    <row r="564" spans="1:14" ht="15.6">
      <c r="A564" s="1512" t="s">
        <v>2256</v>
      </c>
      <c r="B564" s="1512"/>
      <c r="C564" s="1512"/>
      <c r="D564" s="1512" t="s">
        <v>2309</v>
      </c>
      <c r="E564" s="1512"/>
      <c r="F564" s="1512"/>
      <c r="G564" s="1512"/>
      <c r="H564" s="1512" t="s">
        <v>2257</v>
      </c>
      <c r="I564" s="1512"/>
    </row>
    <row r="565" spans="1:14" ht="15.6">
      <c r="A565" s="1509" t="s">
        <v>2247</v>
      </c>
      <c r="B565" s="1509"/>
      <c r="C565" s="1509"/>
      <c r="D565" s="1509" t="s">
        <v>2235</v>
      </c>
      <c r="E565" s="1509"/>
      <c r="F565" s="1509"/>
      <c r="G565" s="1509"/>
      <c r="H565" s="1509" t="s">
        <v>39</v>
      </c>
      <c r="I565" s="1509"/>
    </row>
    <row r="566" spans="1:14" ht="15.6">
      <c r="A566" s="808"/>
      <c r="B566" s="808"/>
      <c r="C566" s="808"/>
      <c r="D566" s="1413"/>
      <c r="E566" s="808"/>
      <c r="F566" s="808"/>
      <c r="G566" s="808"/>
      <c r="H566" s="808"/>
      <c r="I566" s="808"/>
    </row>
    <row r="568" spans="1:14" ht="28.8">
      <c r="A568" s="1513" t="s">
        <v>1705</v>
      </c>
      <c r="B568" s="1513"/>
      <c r="C568" s="1513"/>
      <c r="D568" s="1513"/>
      <c r="E568" s="1513"/>
      <c r="F568" s="1513"/>
      <c r="G568" s="1513"/>
      <c r="H568" s="1513"/>
      <c r="I568" s="1513"/>
    </row>
    <row r="569" spans="1:14" s="1141" customFormat="1" ht="24.75" customHeight="1">
      <c r="A569" s="830" t="s">
        <v>2278</v>
      </c>
      <c r="C569" s="1514" t="s">
        <v>2450</v>
      </c>
      <c r="D569" s="1514"/>
      <c r="E569" s="1514"/>
      <c r="F569" s="1514"/>
      <c r="G569" s="1514"/>
      <c r="H569" s="1514"/>
      <c r="I569" s="1514"/>
    </row>
    <row r="570" spans="1:14" s="1141" customFormat="1" ht="21">
      <c r="A570" s="830" t="s">
        <v>1208</v>
      </c>
      <c r="C570" s="1515" t="s">
        <v>2448</v>
      </c>
      <c r="D570" s="1515"/>
      <c r="E570" s="1515"/>
      <c r="F570" s="1515"/>
      <c r="G570" s="1515"/>
      <c r="H570" s="1515"/>
      <c r="I570" s="1515"/>
    </row>
    <row r="571" spans="1:14" ht="15.6">
      <c r="A571" s="1493"/>
      <c r="B571" s="1493"/>
      <c r="C571" s="1493"/>
      <c r="D571" s="1493"/>
      <c r="E571" s="1493"/>
      <c r="F571" s="1493"/>
      <c r="G571" s="1493"/>
      <c r="H571" s="1493"/>
      <c r="I571" s="1493"/>
    </row>
    <row r="572" spans="1:14" ht="15.6">
      <c r="A572" s="1516" t="s">
        <v>3</v>
      </c>
      <c r="B572" s="1518" t="s">
        <v>4</v>
      </c>
      <c r="C572" s="1519"/>
      <c r="D572" s="1516" t="s">
        <v>5</v>
      </c>
      <c r="E572" s="1516" t="s">
        <v>6</v>
      </c>
      <c r="F572" s="1516" t="s">
        <v>7</v>
      </c>
      <c r="G572" s="770" t="s">
        <v>8</v>
      </c>
      <c r="H572" s="770" t="s">
        <v>9</v>
      </c>
      <c r="I572" s="770" t="s">
        <v>10</v>
      </c>
    </row>
    <row r="573" spans="1:14" ht="15.6">
      <c r="A573" s="1517"/>
      <c r="B573" s="1520"/>
      <c r="C573" s="1521"/>
      <c r="D573" s="1517"/>
      <c r="E573" s="1517"/>
      <c r="F573" s="1517"/>
      <c r="G573" s="771" t="s">
        <v>11</v>
      </c>
      <c r="H573" s="771" t="s">
        <v>11</v>
      </c>
      <c r="I573" s="771" t="s">
        <v>11</v>
      </c>
    </row>
    <row r="574" spans="1:14" s="808" customFormat="1" ht="15.6">
      <c r="A574" s="786" t="s">
        <v>12</v>
      </c>
      <c r="B574" s="1421" t="s">
        <v>13</v>
      </c>
      <c r="C574" s="1422"/>
      <c r="D574" s="782"/>
      <c r="E574" s="778"/>
      <c r="F574" s="778"/>
      <c r="G574" s="778"/>
      <c r="H574" s="810"/>
      <c r="I574" s="789"/>
    </row>
    <row r="575" spans="1:14" s="1417" customFormat="1" ht="18.75" customHeight="1">
      <c r="A575" s="1374">
        <v>1</v>
      </c>
      <c r="B575" s="1527" t="s">
        <v>2449</v>
      </c>
      <c r="C575" s="1528"/>
      <c r="D575" s="1375">
        <v>0.5</v>
      </c>
      <c r="E575" s="1374" t="s">
        <v>2288</v>
      </c>
      <c r="F575" s="1374" t="s">
        <v>16</v>
      </c>
      <c r="G575" s="1376">
        <v>620871</v>
      </c>
      <c r="H575" s="1376">
        <f>+G575*D575</f>
        <v>310435.5</v>
      </c>
      <c r="I575" s="1377"/>
      <c r="M575" s="1417">
        <f>280000/6</f>
        <v>46666.666666666664</v>
      </c>
      <c r="N575" s="1417">
        <f>15*2.5</f>
        <v>37.5</v>
      </c>
    </row>
    <row r="576" spans="1:14" s="1418" customFormat="1" ht="18.75" customHeight="1">
      <c r="A576" s="1374">
        <f>+A575+1</f>
        <v>2</v>
      </c>
      <c r="B576" s="1527" t="s">
        <v>2289</v>
      </c>
      <c r="C576" s="1528"/>
      <c r="D576" s="1375">
        <v>1</v>
      </c>
      <c r="E576" s="1374" t="s">
        <v>2288</v>
      </c>
      <c r="F576" s="1374" t="s">
        <v>16</v>
      </c>
      <c r="G576" s="1395">
        <v>176991</v>
      </c>
      <c r="H576" s="1395">
        <f>+G576*D576</f>
        <v>176991</v>
      </c>
      <c r="I576" s="1396"/>
    </row>
    <row r="577" spans="1:14" s="1417" customFormat="1" ht="18.75" customHeight="1">
      <c r="A577" s="1374">
        <f t="shared" ref="A577" si="35">+A576+1</f>
        <v>3</v>
      </c>
      <c r="B577" s="1527" t="s">
        <v>2451</v>
      </c>
      <c r="C577" s="1528"/>
      <c r="D577" s="1375">
        <v>1</v>
      </c>
      <c r="E577" s="1374" t="s">
        <v>403</v>
      </c>
      <c r="F577" s="1374" t="s">
        <v>16</v>
      </c>
      <c r="G577" s="1376">
        <v>2026541</v>
      </c>
      <c r="H577" s="1376">
        <f>+G577*D577</f>
        <v>2026541</v>
      </c>
      <c r="I577" s="1377"/>
      <c r="M577" s="1417">
        <f>280000/6</f>
        <v>46666.666666666664</v>
      </c>
      <c r="N577" s="1417">
        <f>15*2.5</f>
        <v>37.5</v>
      </c>
    </row>
    <row r="578" spans="1:14" s="808" customFormat="1" ht="15.6">
      <c r="A578" s="814"/>
      <c r="B578" s="1424"/>
      <c r="C578" s="1425"/>
      <c r="D578" s="782"/>
      <c r="E578" s="780"/>
      <c r="F578" s="780"/>
      <c r="G578" s="781"/>
      <c r="H578" s="817"/>
      <c r="I578" s="818">
        <f>SUM(H575:H577)</f>
        <v>2513967.5</v>
      </c>
    </row>
    <row r="579" spans="1:14" s="808" customFormat="1" ht="15.6">
      <c r="A579" s="786" t="s">
        <v>18</v>
      </c>
      <c r="B579" s="1426" t="s">
        <v>2454</v>
      </c>
      <c r="C579" s="1427"/>
      <c r="D579" s="1369"/>
      <c r="E579" s="1370"/>
      <c r="F579" s="1370"/>
      <c r="G579" s="1371"/>
      <c r="H579" s="781"/>
      <c r="I579" s="1133"/>
      <c r="K579" s="808">
        <f>21*3*2</f>
        <v>126</v>
      </c>
    </row>
    <row r="580" spans="1:14" ht="15.6">
      <c r="A580" s="790">
        <v>1</v>
      </c>
      <c r="B580" s="820" t="s">
        <v>2399</v>
      </c>
      <c r="C580" s="1391"/>
      <c r="D580" s="779">
        <v>3</v>
      </c>
      <c r="E580" s="780" t="s">
        <v>373</v>
      </c>
      <c r="F580" s="780" t="s">
        <v>16</v>
      </c>
      <c r="G580" s="788">
        <v>202500</v>
      </c>
      <c r="H580" s="788">
        <f>G580*D580</f>
        <v>607500</v>
      </c>
      <c r="I580" s="789"/>
    </row>
    <row r="581" spans="1:14" ht="15.6">
      <c r="A581" s="790">
        <f>+A580+1</f>
        <v>2</v>
      </c>
      <c r="B581" s="820" t="s">
        <v>2452</v>
      </c>
      <c r="C581" s="1391"/>
      <c r="D581" s="779">
        <v>3</v>
      </c>
      <c r="E581" s="780" t="s">
        <v>373</v>
      </c>
      <c r="F581" s="780" t="s">
        <v>16</v>
      </c>
      <c r="G581" s="788">
        <v>270000</v>
      </c>
      <c r="H581" s="788">
        <f>G581*D581</f>
        <v>810000</v>
      </c>
      <c r="I581" s="789"/>
    </row>
    <row r="582" spans="1:14" ht="15.6">
      <c r="A582" s="790">
        <f>+A581+1</f>
        <v>3</v>
      </c>
      <c r="B582" s="820" t="s">
        <v>440</v>
      </c>
      <c r="C582" s="1391"/>
      <c r="D582" s="1415" t="s">
        <v>126</v>
      </c>
      <c r="E582" s="1416" t="s">
        <v>126</v>
      </c>
      <c r="F582" s="780" t="s">
        <v>51</v>
      </c>
      <c r="G582" s="788">
        <v>250000</v>
      </c>
      <c r="H582" s="788">
        <f>+G582</f>
        <v>250000</v>
      </c>
      <c r="I582" s="789"/>
    </row>
    <row r="583" spans="1:14" s="808" customFormat="1" ht="15.6">
      <c r="A583" s="790"/>
      <c r="B583" s="1394"/>
      <c r="C583" s="1392"/>
      <c r="D583" s="791"/>
      <c r="E583" s="780"/>
      <c r="F583" s="780"/>
      <c r="G583" s="788"/>
      <c r="H583" s="788"/>
      <c r="I583" s="807">
        <f>SUM(H580:H582)</f>
        <v>1667500</v>
      </c>
    </row>
    <row r="584" spans="1:14" s="808" customFormat="1" ht="15.6">
      <c r="A584" s="793"/>
      <c r="B584" s="783"/>
      <c r="C584" s="783"/>
      <c r="D584" s="1410"/>
      <c r="E584" s="795"/>
      <c r="F584" s="811"/>
      <c r="G584" s="811" t="s">
        <v>25</v>
      </c>
      <c r="H584" s="813"/>
      <c r="I584" s="810">
        <f>SUM(I574:I583)</f>
        <v>4181467.5</v>
      </c>
    </row>
    <row r="585" spans="1:14" s="808" customFormat="1" ht="15.6">
      <c r="A585" s="796"/>
      <c r="B585" s="797"/>
      <c r="C585" s="797"/>
      <c r="D585" s="784"/>
      <c r="E585" s="784"/>
      <c r="F585" s="785"/>
      <c r="G585" s="812"/>
      <c r="H585" s="798"/>
      <c r="I585" s="826"/>
    </row>
    <row r="586" spans="1:14" ht="15.6">
      <c r="A586" s="799"/>
      <c r="B586" s="800" t="s">
        <v>549</v>
      </c>
      <c r="C586" s="800"/>
      <c r="D586" s="1411"/>
      <c r="E586" s="800"/>
      <c r="F586" s="800"/>
      <c r="G586" s="801"/>
      <c r="H586" s="828" t="s">
        <v>28</v>
      </c>
      <c r="I586" s="775">
        <f>I584</f>
        <v>4181467.5</v>
      </c>
    </row>
    <row r="587" spans="1:14" ht="15.6">
      <c r="A587" s="802"/>
      <c r="B587" s="1398" t="s">
        <v>2453</v>
      </c>
      <c r="C587" s="803"/>
      <c r="D587" s="1412"/>
      <c r="E587" s="804"/>
      <c r="F587" s="804"/>
      <c r="G587" s="805"/>
      <c r="H587" s="829" t="s">
        <v>30</v>
      </c>
      <c r="I587" s="807">
        <f>ROUND(I586,-3)</f>
        <v>4181000</v>
      </c>
    </row>
    <row r="588" spans="1:14" ht="15.6">
      <c r="A588" s="49"/>
      <c r="B588" s="49"/>
      <c r="C588" s="49"/>
      <c r="D588" s="823"/>
      <c r="E588" s="49"/>
      <c r="F588" s="49"/>
      <c r="G588" s="49"/>
      <c r="H588" s="49"/>
      <c r="I588" s="50"/>
    </row>
    <row r="589" spans="1:14" ht="15.6">
      <c r="A589" s="51"/>
      <c r="B589" s="51"/>
      <c r="C589" s="51"/>
      <c r="D589" s="1492"/>
      <c r="E589" s="51"/>
      <c r="F589" s="51"/>
      <c r="G589" s="51"/>
      <c r="H589" s="1509" t="s">
        <v>2435</v>
      </c>
      <c r="I589" s="1509"/>
    </row>
    <row r="590" spans="1:14" ht="15.6">
      <c r="A590" s="1509" t="s">
        <v>234</v>
      </c>
      <c r="B590" s="1509"/>
      <c r="C590" s="1509"/>
      <c r="D590" s="1509" t="s">
        <v>32</v>
      </c>
      <c r="E590" s="1509"/>
      <c r="F590" s="1509"/>
      <c r="G590" s="1509"/>
      <c r="H590" s="1509" t="s">
        <v>33</v>
      </c>
      <c r="I590" s="1509"/>
    </row>
    <row r="591" spans="1:14" ht="15.6">
      <c r="A591" s="51"/>
      <c r="B591" s="51"/>
      <c r="C591" s="51"/>
      <c r="D591" s="1492"/>
      <c r="E591" s="51"/>
      <c r="F591" s="51"/>
      <c r="G591" s="51"/>
      <c r="H591" s="51"/>
      <c r="I591" s="51"/>
    </row>
    <row r="592" spans="1:14" ht="15.6">
      <c r="A592" s="51"/>
      <c r="B592" s="51"/>
      <c r="C592" s="51"/>
      <c r="D592" s="1492"/>
      <c r="E592" s="51"/>
      <c r="F592" s="51"/>
      <c r="G592" s="51"/>
      <c r="H592" s="51"/>
      <c r="I592" s="51"/>
    </row>
    <row r="593" spans="1:14" ht="15.6">
      <c r="A593" s="51"/>
      <c r="B593" s="51"/>
      <c r="C593" s="51"/>
      <c r="D593" s="1492"/>
      <c r="E593" s="51"/>
      <c r="F593" s="51"/>
      <c r="G593" s="51"/>
      <c r="H593" s="51"/>
      <c r="I593" s="51"/>
    </row>
    <row r="594" spans="1:14" ht="15.6">
      <c r="A594" s="1512" t="s">
        <v>2256</v>
      </c>
      <c r="B594" s="1512"/>
      <c r="C594" s="1512"/>
      <c r="D594" s="1512" t="s">
        <v>2309</v>
      </c>
      <c r="E594" s="1512"/>
      <c r="F594" s="1512"/>
      <c r="G594" s="1512"/>
      <c r="H594" s="1512" t="s">
        <v>2257</v>
      </c>
      <c r="I594" s="1512"/>
    </row>
    <row r="595" spans="1:14" ht="15.6">
      <c r="A595" s="1509" t="s">
        <v>2247</v>
      </c>
      <c r="B595" s="1509"/>
      <c r="C595" s="1509"/>
      <c r="D595" s="1509" t="s">
        <v>2235</v>
      </c>
      <c r="E595" s="1509"/>
      <c r="F595" s="1509"/>
      <c r="G595" s="1509"/>
      <c r="H595" s="1509" t="s">
        <v>39</v>
      </c>
      <c r="I595" s="1509"/>
    </row>
    <row r="596" spans="1:14" ht="15.6">
      <c r="A596" s="808"/>
      <c r="B596" s="808"/>
      <c r="C596" s="808"/>
      <c r="D596" s="1413"/>
      <c r="E596" s="808"/>
      <c r="F596" s="808"/>
      <c r="G596" s="808"/>
      <c r="H596" s="808"/>
      <c r="I596" s="808"/>
    </row>
    <row r="598" spans="1:14" ht="28.8">
      <c r="A598" s="1513" t="s">
        <v>1705</v>
      </c>
      <c r="B598" s="1513"/>
      <c r="C598" s="1513"/>
      <c r="D598" s="1513"/>
      <c r="E598" s="1513"/>
      <c r="F598" s="1513"/>
      <c r="G598" s="1513"/>
      <c r="H598" s="1513"/>
      <c r="I598" s="1513"/>
    </row>
    <row r="599" spans="1:14" s="1141" customFormat="1" ht="24.75" customHeight="1">
      <c r="A599" s="830" t="s">
        <v>2278</v>
      </c>
      <c r="C599" s="1514" t="s">
        <v>2455</v>
      </c>
      <c r="D599" s="1514"/>
      <c r="E599" s="1514"/>
      <c r="F599" s="1514"/>
      <c r="G599" s="1514"/>
      <c r="H599" s="1514"/>
      <c r="I599" s="1514"/>
    </row>
    <row r="600" spans="1:14" s="1141" customFormat="1" ht="21">
      <c r="A600" s="830" t="s">
        <v>1208</v>
      </c>
      <c r="C600" s="1515" t="s">
        <v>2456</v>
      </c>
      <c r="D600" s="1515"/>
      <c r="E600" s="1515"/>
      <c r="F600" s="1515"/>
      <c r="G600" s="1515"/>
      <c r="H600" s="1515"/>
      <c r="I600" s="1515"/>
    </row>
    <row r="601" spans="1:14" ht="15.6">
      <c r="A601" s="1496"/>
      <c r="B601" s="1496"/>
      <c r="C601" s="1496"/>
      <c r="D601" s="1496"/>
      <c r="E601" s="1496"/>
      <c r="F601" s="1496"/>
      <c r="G601" s="1496"/>
      <c r="H601" s="1496"/>
      <c r="I601" s="1496"/>
    </row>
    <row r="602" spans="1:14" ht="15.6">
      <c r="A602" s="1516" t="s">
        <v>3</v>
      </c>
      <c r="B602" s="1518" t="s">
        <v>4</v>
      </c>
      <c r="C602" s="1519"/>
      <c r="D602" s="1516" t="s">
        <v>5</v>
      </c>
      <c r="E602" s="1516" t="s">
        <v>6</v>
      </c>
      <c r="F602" s="1516" t="s">
        <v>7</v>
      </c>
      <c r="G602" s="770" t="s">
        <v>8</v>
      </c>
      <c r="H602" s="770" t="s">
        <v>9</v>
      </c>
      <c r="I602" s="770" t="s">
        <v>10</v>
      </c>
    </row>
    <row r="603" spans="1:14" ht="15.6">
      <c r="A603" s="1517"/>
      <c r="B603" s="1520"/>
      <c r="C603" s="1521"/>
      <c r="D603" s="1517"/>
      <c r="E603" s="1517"/>
      <c r="F603" s="1517"/>
      <c r="G603" s="771" t="s">
        <v>11</v>
      </c>
      <c r="H603" s="771" t="s">
        <v>11</v>
      </c>
      <c r="I603" s="771" t="s">
        <v>11</v>
      </c>
    </row>
    <row r="604" spans="1:14" s="808" customFormat="1" ht="15.6">
      <c r="A604" s="786" t="s">
        <v>12</v>
      </c>
      <c r="B604" s="1421" t="s">
        <v>13</v>
      </c>
      <c r="C604" s="1422"/>
      <c r="D604" s="782"/>
      <c r="E604" s="778"/>
      <c r="F604" s="778"/>
      <c r="G604" s="778"/>
      <c r="H604" s="810"/>
      <c r="I604" s="789"/>
    </row>
    <row r="605" spans="1:14" s="1417" customFormat="1" ht="38.25" customHeight="1">
      <c r="A605" s="1374">
        <v>1</v>
      </c>
      <c r="B605" s="1527" t="s">
        <v>2457</v>
      </c>
      <c r="C605" s="1528"/>
      <c r="D605" s="1375">
        <v>1</v>
      </c>
      <c r="E605" s="1374" t="s">
        <v>403</v>
      </c>
      <c r="F605" s="1374" t="s">
        <v>16</v>
      </c>
      <c r="G605" s="1376">
        <f>7540000+592000</f>
        <v>8132000</v>
      </c>
      <c r="H605" s="1376">
        <f>+G605*D605</f>
        <v>8132000</v>
      </c>
      <c r="I605" s="1377"/>
      <c r="M605" s="1417">
        <f>280000/6</f>
        <v>46666.666666666664</v>
      </c>
      <c r="N605" s="1417">
        <f>15*2.5</f>
        <v>37.5</v>
      </c>
    </row>
    <row r="606" spans="1:14" s="1418" customFormat="1" ht="18.75" customHeight="1">
      <c r="A606" s="1374">
        <f>+A605+1</f>
        <v>2</v>
      </c>
      <c r="B606" s="1527" t="s">
        <v>2289</v>
      </c>
      <c r="C606" s="1528"/>
      <c r="D606" s="1375">
        <v>1</v>
      </c>
      <c r="E606" s="1374" t="s">
        <v>2288</v>
      </c>
      <c r="F606" s="1374" t="s">
        <v>16</v>
      </c>
      <c r="G606" s="1395">
        <v>176991</v>
      </c>
      <c r="H606" s="1395">
        <f>+G606*D606</f>
        <v>176991</v>
      </c>
      <c r="I606" s="1396"/>
    </row>
    <row r="607" spans="1:14" s="808" customFormat="1" ht="15.6">
      <c r="A607" s="814"/>
      <c r="B607" s="1424"/>
      <c r="C607" s="1425"/>
      <c r="D607" s="782"/>
      <c r="E607" s="780"/>
      <c r="F607" s="780"/>
      <c r="G607" s="781"/>
      <c r="H607" s="817"/>
      <c r="I607" s="818">
        <f>SUM(H605:H606)</f>
        <v>8308991</v>
      </c>
    </row>
    <row r="608" spans="1:14" s="808" customFormat="1" ht="15.6">
      <c r="A608" s="786" t="s">
        <v>18</v>
      </c>
      <c r="B608" s="1426" t="s">
        <v>2454</v>
      </c>
      <c r="C608" s="1427"/>
      <c r="D608" s="1369"/>
      <c r="E608" s="1370"/>
      <c r="F608" s="1370"/>
      <c r="G608" s="1371"/>
      <c r="H608" s="781"/>
      <c r="I608" s="1133"/>
      <c r="K608" s="808">
        <f>21*3*2</f>
        <v>126</v>
      </c>
    </row>
    <row r="609" spans="1:9" ht="15.6">
      <c r="A609" s="790">
        <v>1</v>
      </c>
      <c r="B609" s="820" t="s">
        <v>2399</v>
      </c>
      <c r="C609" s="1391"/>
      <c r="D609" s="779">
        <v>1</v>
      </c>
      <c r="E609" s="780" t="s">
        <v>373</v>
      </c>
      <c r="F609" s="780" t="s">
        <v>16</v>
      </c>
      <c r="G609" s="788">
        <v>129950</v>
      </c>
      <c r="H609" s="788">
        <f>G609*D609</f>
        <v>129950</v>
      </c>
      <c r="I609" s="789"/>
    </row>
    <row r="610" spans="1:9" ht="15.6">
      <c r="A610" s="790">
        <f>+A609+1</f>
        <v>2</v>
      </c>
      <c r="B610" s="820" t="s">
        <v>2452</v>
      </c>
      <c r="C610" s="1391"/>
      <c r="D610" s="779">
        <v>1</v>
      </c>
      <c r="E610" s="780" t="s">
        <v>373</v>
      </c>
      <c r="F610" s="780" t="s">
        <v>16</v>
      </c>
      <c r="G610" s="788">
        <v>108400</v>
      </c>
      <c r="H610" s="788">
        <f>G610*D610</f>
        <v>108400</v>
      </c>
      <c r="I610" s="789"/>
    </row>
    <row r="611" spans="1:9" ht="15.6">
      <c r="A611" s="790">
        <f>+A610+1</f>
        <v>3</v>
      </c>
      <c r="B611" s="820" t="s">
        <v>440</v>
      </c>
      <c r="C611" s="1391"/>
      <c r="D611" s="1415" t="s">
        <v>126</v>
      </c>
      <c r="E611" s="1416" t="s">
        <v>126</v>
      </c>
      <c r="F611" s="780" t="s">
        <v>51</v>
      </c>
      <c r="G611" s="788">
        <v>250000</v>
      </c>
      <c r="H611" s="788">
        <f>+G611</f>
        <v>250000</v>
      </c>
      <c r="I611" s="789"/>
    </row>
    <row r="612" spans="1:9" s="808" customFormat="1" ht="15.6">
      <c r="A612" s="790"/>
      <c r="B612" s="1394"/>
      <c r="C612" s="1392"/>
      <c r="D612" s="791"/>
      <c r="E612" s="780"/>
      <c r="F612" s="780"/>
      <c r="G612" s="788"/>
      <c r="H612" s="788"/>
      <c r="I612" s="807">
        <f>SUM(H609:H611)</f>
        <v>488350</v>
      </c>
    </row>
    <row r="613" spans="1:9" s="808" customFormat="1" ht="15.6">
      <c r="A613" s="793"/>
      <c r="B613" s="783"/>
      <c r="C613" s="783"/>
      <c r="D613" s="1410"/>
      <c r="E613" s="795"/>
      <c r="F613" s="811"/>
      <c r="G613" s="811" t="s">
        <v>25</v>
      </c>
      <c r="H613" s="813"/>
      <c r="I613" s="810">
        <f>SUM(I604:I612)</f>
        <v>8797341</v>
      </c>
    </row>
    <row r="614" spans="1:9" s="808" customFormat="1" ht="15.6">
      <c r="A614" s="796"/>
      <c r="B614" s="797"/>
      <c r="C614" s="797"/>
      <c r="D614" s="784"/>
      <c r="E614" s="784"/>
      <c r="F614" s="785"/>
      <c r="G614" s="812"/>
      <c r="H614" s="798"/>
      <c r="I614" s="826"/>
    </row>
    <row r="615" spans="1:9" ht="15.6">
      <c r="A615" s="799"/>
      <c r="B615" s="800" t="s">
        <v>549</v>
      </c>
      <c r="C615" s="800"/>
      <c r="D615" s="1411"/>
      <c r="E615" s="800"/>
      <c r="F615" s="800"/>
      <c r="G615" s="801"/>
      <c r="H615" s="828" t="s">
        <v>28</v>
      </c>
      <c r="I615" s="775">
        <f>I613</f>
        <v>8797341</v>
      </c>
    </row>
    <row r="616" spans="1:9" ht="15.6">
      <c r="A616" s="802"/>
      <c r="B616" s="1398" t="s">
        <v>2459</v>
      </c>
      <c r="C616" s="803"/>
      <c r="D616" s="1412"/>
      <c r="E616" s="804"/>
      <c r="F616" s="804"/>
      <c r="G616" s="805"/>
      <c r="H616" s="829" t="s">
        <v>30</v>
      </c>
      <c r="I616" s="807">
        <f>ROUND(I615,-3)</f>
        <v>8797000</v>
      </c>
    </row>
    <row r="617" spans="1:9" ht="15.6">
      <c r="A617" s="49"/>
      <c r="B617" s="49"/>
      <c r="C617" s="49"/>
      <c r="D617" s="823"/>
      <c r="E617" s="49"/>
      <c r="F617" s="49"/>
      <c r="G617" s="49"/>
      <c r="H617" s="49"/>
      <c r="I617" s="50"/>
    </row>
    <row r="618" spans="1:9" ht="15.6">
      <c r="A618" s="51"/>
      <c r="B618" s="51"/>
      <c r="C618" s="51"/>
      <c r="D618" s="1495"/>
      <c r="E618" s="51"/>
      <c r="F618" s="51"/>
      <c r="G618" s="51"/>
      <c r="H618" s="1509" t="s">
        <v>2458</v>
      </c>
      <c r="I618" s="1509"/>
    </row>
    <row r="619" spans="1:9" ht="15.6">
      <c r="A619" s="1509" t="s">
        <v>234</v>
      </c>
      <c r="B619" s="1509"/>
      <c r="C619" s="1509"/>
      <c r="D619" s="1509" t="s">
        <v>32</v>
      </c>
      <c r="E619" s="1509"/>
      <c r="F619" s="1509"/>
      <c r="G619" s="1509"/>
      <c r="H619" s="1509" t="s">
        <v>33</v>
      </c>
      <c r="I619" s="1509"/>
    </row>
    <row r="620" spans="1:9" ht="15.6">
      <c r="A620" s="51"/>
      <c r="B620" s="51"/>
      <c r="C620" s="51"/>
      <c r="D620" s="1495"/>
      <c r="E620" s="51"/>
      <c r="F620" s="51"/>
      <c r="G620" s="51"/>
      <c r="H620" s="51"/>
      <c r="I620" s="51"/>
    </row>
    <row r="621" spans="1:9" ht="15.6">
      <c r="A621" s="51"/>
      <c r="B621" s="51"/>
      <c r="C621" s="51"/>
      <c r="D621" s="1495"/>
      <c r="E621" s="51"/>
      <c r="F621" s="51"/>
      <c r="G621" s="51"/>
      <c r="H621" s="51"/>
      <c r="I621" s="51"/>
    </row>
    <row r="622" spans="1:9" ht="15.6">
      <c r="A622" s="51"/>
      <c r="B622" s="51"/>
      <c r="C622" s="51"/>
      <c r="D622" s="1495"/>
      <c r="E622" s="51"/>
      <c r="F622" s="51"/>
      <c r="G622" s="51"/>
      <c r="H622" s="51"/>
      <c r="I622" s="51"/>
    </row>
    <row r="623" spans="1:9" ht="15.6">
      <c r="A623" s="1512" t="s">
        <v>2256</v>
      </c>
      <c r="B623" s="1512"/>
      <c r="C623" s="1512"/>
      <c r="D623" s="1512" t="s">
        <v>2248</v>
      </c>
      <c r="E623" s="1512"/>
      <c r="F623" s="1512"/>
      <c r="G623" s="1512"/>
      <c r="H623" s="1512" t="s">
        <v>2257</v>
      </c>
      <c r="I623" s="1512"/>
    </row>
    <row r="624" spans="1:9" ht="15.6">
      <c r="A624" s="1509" t="s">
        <v>2247</v>
      </c>
      <c r="B624" s="1509"/>
      <c r="C624" s="1509"/>
      <c r="D624" s="1509" t="s">
        <v>1604</v>
      </c>
      <c r="E624" s="1509"/>
      <c r="F624" s="1509"/>
      <c r="G624" s="1509"/>
      <c r="H624" s="1509" t="s">
        <v>39</v>
      </c>
      <c r="I624" s="1509"/>
    </row>
    <row r="627" spans="1:13" ht="33.6">
      <c r="A627" s="597"/>
      <c r="B627" s="1524" t="s">
        <v>235</v>
      </c>
      <c r="C627" s="1524"/>
      <c r="D627" s="1524"/>
      <c r="E627" s="1524"/>
      <c r="F627" s="1524"/>
      <c r="G627" s="1524"/>
      <c r="H627" s="1524"/>
      <c r="I627" s="1524"/>
    </row>
    <row r="628" spans="1:13" ht="24.75" customHeight="1">
      <c r="A628" s="597"/>
      <c r="B628" s="1525" t="s">
        <v>2460</v>
      </c>
      <c r="C628" s="1525"/>
      <c r="D628" s="1525"/>
      <c r="E628" s="1525"/>
      <c r="F628" s="1525"/>
      <c r="G628" s="1525"/>
      <c r="H628" s="1525"/>
      <c r="I628" s="1525"/>
    </row>
    <row r="629" spans="1:13" ht="25.8">
      <c r="A629" s="830"/>
      <c r="B629" s="1526" t="s">
        <v>2461</v>
      </c>
      <c r="C629" s="1526"/>
      <c r="D629" s="1526"/>
      <c r="E629" s="1526"/>
      <c r="F629" s="1526"/>
      <c r="G629" s="1526"/>
      <c r="H629" s="1526"/>
      <c r="I629" s="1526"/>
    </row>
    <row r="630" spans="1:13" ht="15.6">
      <c r="A630" s="1498"/>
      <c r="B630" s="1498"/>
      <c r="C630" s="1498"/>
      <c r="D630" s="1498"/>
      <c r="E630" s="1498"/>
      <c r="F630" s="1498"/>
      <c r="G630" s="1498"/>
      <c r="H630" s="1498"/>
      <c r="I630" s="1498"/>
    </row>
    <row r="631" spans="1:13" ht="15.6">
      <c r="A631" s="1516" t="s">
        <v>3</v>
      </c>
      <c r="B631" s="1518" t="s">
        <v>4</v>
      </c>
      <c r="C631" s="1519"/>
      <c r="D631" s="1516" t="s">
        <v>5</v>
      </c>
      <c r="E631" s="1516" t="s">
        <v>6</v>
      </c>
      <c r="F631" s="1516" t="s">
        <v>7</v>
      </c>
      <c r="G631" s="770" t="s">
        <v>8</v>
      </c>
      <c r="H631" s="770" t="s">
        <v>9</v>
      </c>
      <c r="I631" s="770" t="s">
        <v>10</v>
      </c>
    </row>
    <row r="632" spans="1:13" ht="15.6">
      <c r="A632" s="1517"/>
      <c r="B632" s="1520"/>
      <c r="C632" s="1521"/>
      <c r="D632" s="1517"/>
      <c r="E632" s="1517"/>
      <c r="F632" s="1517"/>
      <c r="G632" s="771" t="s">
        <v>11</v>
      </c>
      <c r="H632" s="771" t="s">
        <v>11</v>
      </c>
      <c r="I632" s="771" t="s">
        <v>11</v>
      </c>
    </row>
    <row r="633" spans="1:13" ht="15.6">
      <c r="A633" s="770" t="s">
        <v>12</v>
      </c>
      <c r="B633" s="1393" t="s">
        <v>364</v>
      </c>
      <c r="C633" s="1390"/>
      <c r="D633" s="1369"/>
      <c r="E633" s="774"/>
      <c r="F633" s="774"/>
      <c r="G633" s="774"/>
      <c r="H633" s="775"/>
      <c r="I633" s="776"/>
    </row>
    <row r="634" spans="1:13" s="1378" customFormat="1" ht="18" customHeight="1">
      <c r="A634" s="1374">
        <v>1</v>
      </c>
      <c r="B634" s="1510" t="s">
        <v>2413</v>
      </c>
      <c r="C634" s="1511"/>
      <c r="D634" s="1375">
        <v>20</v>
      </c>
      <c r="E634" s="1374" t="s">
        <v>2261</v>
      </c>
      <c r="F634" s="1374" t="s">
        <v>16</v>
      </c>
      <c r="G634" s="1376">
        <v>56000</v>
      </c>
      <c r="H634" s="1376">
        <f>+G634*D634</f>
        <v>1120000</v>
      </c>
      <c r="I634" s="1377"/>
      <c r="M634" s="1378">
        <f>280000/6</f>
        <v>46666.666666666664</v>
      </c>
    </row>
    <row r="635" spans="1:13" ht="15.6">
      <c r="A635" s="780">
        <f>+A634+1</f>
        <v>2</v>
      </c>
      <c r="B635" s="820" t="s">
        <v>2391</v>
      </c>
      <c r="C635" s="1391"/>
      <c r="D635" s="779">
        <v>2</v>
      </c>
      <c r="E635" s="780" t="s">
        <v>403</v>
      </c>
      <c r="F635" s="780" t="s">
        <v>16</v>
      </c>
      <c r="G635" s="791">
        <v>25000</v>
      </c>
      <c r="H635" s="791">
        <f>+G635*D635</f>
        <v>50000</v>
      </c>
      <c r="I635" s="971"/>
    </row>
    <row r="636" spans="1:13" ht="15.6">
      <c r="A636" s="780">
        <f t="shared" ref="A636:A642" si="36">+A635+1</f>
        <v>3</v>
      </c>
      <c r="B636" s="820" t="s">
        <v>2386</v>
      </c>
      <c r="C636" s="1391"/>
      <c r="D636" s="779">
        <v>1</v>
      </c>
      <c r="E636" s="780" t="s">
        <v>403</v>
      </c>
      <c r="F636" s="780" t="s">
        <v>16</v>
      </c>
      <c r="G636" s="791">
        <v>15000</v>
      </c>
      <c r="H636" s="791">
        <f>+G636*D636</f>
        <v>15000</v>
      </c>
      <c r="I636" s="971"/>
    </row>
    <row r="637" spans="1:13" ht="15.6">
      <c r="A637" s="780">
        <f t="shared" si="36"/>
        <v>4</v>
      </c>
      <c r="B637" s="820" t="s">
        <v>2398</v>
      </c>
      <c r="C637" s="1391"/>
      <c r="D637" s="779">
        <v>5</v>
      </c>
      <c r="E637" s="780" t="s">
        <v>2405</v>
      </c>
      <c r="F637" s="780" t="s">
        <v>16</v>
      </c>
      <c r="G637" s="791">
        <v>4500</v>
      </c>
      <c r="H637" s="791">
        <f t="shared" ref="H637" si="37">+G637*D637</f>
        <v>22500</v>
      </c>
      <c r="I637" s="971"/>
      <c r="K637" s="1">
        <f>24*3*2</f>
        <v>144</v>
      </c>
    </row>
    <row r="638" spans="1:13" ht="15.6">
      <c r="A638" s="780">
        <f t="shared" si="36"/>
        <v>5</v>
      </c>
      <c r="B638" s="820" t="s">
        <v>2378</v>
      </c>
      <c r="C638" s="1391"/>
      <c r="D638" s="779">
        <f>+D635</f>
        <v>2</v>
      </c>
      <c r="E638" s="780" t="s">
        <v>403</v>
      </c>
      <c r="F638" s="780" t="s">
        <v>16</v>
      </c>
      <c r="G638" s="791">
        <v>7000</v>
      </c>
      <c r="H638" s="791">
        <f>G638*D638</f>
        <v>14000</v>
      </c>
      <c r="I638" s="971"/>
    </row>
    <row r="639" spans="1:13" ht="15.6">
      <c r="A639" s="780">
        <f t="shared" si="36"/>
        <v>6</v>
      </c>
      <c r="B639" s="820" t="s">
        <v>2414</v>
      </c>
      <c r="C639" s="1391"/>
      <c r="D639" s="779">
        <v>2</v>
      </c>
      <c r="E639" s="780" t="s">
        <v>2261</v>
      </c>
      <c r="F639" s="780" t="s">
        <v>16</v>
      </c>
      <c r="G639" s="791">
        <v>15000</v>
      </c>
      <c r="H639" s="791">
        <f t="shared" ref="H639:H642" si="38">+G639*D639</f>
        <v>30000</v>
      </c>
      <c r="I639" s="971"/>
      <c r="K639" s="1">
        <f>24*3*2</f>
        <v>144</v>
      </c>
    </row>
    <row r="640" spans="1:13" ht="15.6">
      <c r="A640" s="780">
        <f t="shared" si="36"/>
        <v>7</v>
      </c>
      <c r="B640" s="820" t="s">
        <v>2387</v>
      </c>
      <c r="C640" s="1391"/>
      <c r="D640" s="779">
        <f>+D635</f>
        <v>2</v>
      </c>
      <c r="E640" s="780" t="s">
        <v>403</v>
      </c>
      <c r="F640" s="780" t="s">
        <v>16</v>
      </c>
      <c r="G640" s="791">
        <v>15000</v>
      </c>
      <c r="H640" s="791">
        <f t="shared" si="38"/>
        <v>30000</v>
      </c>
      <c r="I640" s="971"/>
      <c r="K640" s="1">
        <f>24*3*2</f>
        <v>144</v>
      </c>
    </row>
    <row r="641" spans="1:11" ht="15.6">
      <c r="A641" s="780">
        <f t="shared" si="36"/>
        <v>8</v>
      </c>
      <c r="B641" s="820" t="s">
        <v>2389</v>
      </c>
      <c r="C641" s="1391"/>
      <c r="D641" s="779">
        <v>4</v>
      </c>
      <c r="E641" s="780" t="s">
        <v>403</v>
      </c>
      <c r="F641" s="780" t="s">
        <v>16</v>
      </c>
      <c r="G641" s="791">
        <v>5000</v>
      </c>
      <c r="H641" s="791">
        <f t="shared" si="38"/>
        <v>20000</v>
      </c>
      <c r="I641" s="971"/>
      <c r="K641" s="1">
        <f>24*3*2</f>
        <v>144</v>
      </c>
    </row>
    <row r="642" spans="1:11" s="1378" customFormat="1" ht="18" customHeight="1">
      <c r="A642" s="780">
        <f t="shared" si="36"/>
        <v>9</v>
      </c>
      <c r="B642" s="1510" t="s">
        <v>2403</v>
      </c>
      <c r="C642" s="1511"/>
      <c r="D642" s="1375">
        <v>2</v>
      </c>
      <c r="E642" s="1374" t="s">
        <v>403</v>
      </c>
      <c r="F642" s="1374" t="s">
        <v>16</v>
      </c>
      <c r="G642" s="1376">
        <v>6000</v>
      </c>
      <c r="H642" s="1376">
        <f t="shared" si="38"/>
        <v>12000</v>
      </c>
      <c r="I642" s="1377"/>
      <c r="K642" s="1378">
        <f>24*3*2</f>
        <v>144</v>
      </c>
    </row>
    <row r="643" spans="1:11" ht="15.6">
      <c r="A643" s="814"/>
      <c r="B643" s="820"/>
      <c r="C643" s="1391"/>
      <c r="D643" s="782"/>
      <c r="E643" s="780"/>
      <c r="F643" s="780"/>
      <c r="G643" s="781"/>
      <c r="H643" s="817"/>
      <c r="I643" s="818">
        <f>SUM(H634:H643)</f>
        <v>1313500</v>
      </c>
    </row>
    <row r="644" spans="1:11" ht="15.6">
      <c r="A644" s="786" t="s">
        <v>18</v>
      </c>
      <c r="B644" s="1393" t="s">
        <v>19</v>
      </c>
      <c r="C644" s="1390"/>
      <c r="D644" s="1369"/>
      <c r="E644" s="1370"/>
      <c r="F644" s="1370"/>
      <c r="G644" s="1371"/>
      <c r="H644" s="781"/>
      <c r="I644" s="1133"/>
      <c r="K644" s="1">
        <f>21*3*2</f>
        <v>126</v>
      </c>
    </row>
    <row r="645" spans="1:11" ht="15.6">
      <c r="A645" s="790">
        <v>1</v>
      </c>
      <c r="B645" s="820" t="s">
        <v>2452</v>
      </c>
      <c r="C645" s="1391"/>
      <c r="D645" s="779">
        <v>2</v>
      </c>
      <c r="E645" s="780" t="s">
        <v>373</v>
      </c>
      <c r="F645" s="780" t="s">
        <v>51</v>
      </c>
      <c r="G645" s="788">
        <v>216960</v>
      </c>
      <c r="H645" s="788">
        <f>G645*D645</f>
        <v>433920</v>
      </c>
      <c r="I645" s="789"/>
    </row>
    <row r="646" spans="1:11" ht="15.6">
      <c r="A646" s="790"/>
      <c r="B646" s="1394"/>
      <c r="C646" s="1392"/>
      <c r="D646" s="791"/>
      <c r="E646" s="780"/>
      <c r="F646" s="780"/>
      <c r="G646" s="788"/>
      <c r="H646" s="788"/>
      <c r="I646" s="807">
        <f>SUM(H645:H645)</f>
        <v>433920</v>
      </c>
    </row>
    <row r="647" spans="1:11" ht="15.6">
      <c r="A647" s="793"/>
      <c r="B647" s="783"/>
      <c r="C647" s="783"/>
      <c r="D647" s="1410"/>
      <c r="E647" s="795"/>
      <c r="F647" s="811"/>
      <c r="G647" s="811" t="s">
        <v>25</v>
      </c>
      <c r="H647" s="813"/>
      <c r="I647" s="810">
        <f>I643+I646</f>
        <v>1747420</v>
      </c>
    </row>
    <row r="648" spans="1:11" ht="15.6">
      <c r="A648" s="820"/>
      <c r="B648" s="821"/>
      <c r="C648" s="821"/>
      <c r="D648" s="822"/>
      <c r="E648" s="822"/>
      <c r="F648" s="823"/>
      <c r="G648" s="819"/>
      <c r="H648" s="964"/>
      <c r="I648" s="1372"/>
    </row>
    <row r="649" spans="1:11" ht="15.6">
      <c r="A649" s="796"/>
      <c r="B649" s="797"/>
      <c r="C649" s="797"/>
      <c r="D649" s="784"/>
      <c r="E649" s="784"/>
      <c r="F649" s="785"/>
      <c r="G649" s="812"/>
      <c r="H649" s="798"/>
      <c r="I649" s="826"/>
    </row>
    <row r="650" spans="1:11" ht="15.6">
      <c r="A650" s="799"/>
      <c r="B650" s="800" t="s">
        <v>549</v>
      </c>
      <c r="C650" s="800"/>
      <c r="D650" s="1411"/>
      <c r="E650" s="800"/>
      <c r="F650" s="800"/>
      <c r="G650" s="801"/>
      <c r="H650" s="828" t="s">
        <v>28</v>
      </c>
      <c r="I650" s="775">
        <f>I647</f>
        <v>1747420</v>
      </c>
    </row>
    <row r="651" spans="1:11" ht="15.6">
      <c r="A651" s="802"/>
      <c r="B651" s="1398" t="s">
        <v>2463</v>
      </c>
      <c r="C651" s="803"/>
      <c r="D651" s="1412"/>
      <c r="E651" s="804"/>
      <c r="F651" s="804"/>
      <c r="G651" s="805"/>
      <c r="H651" s="829" t="s">
        <v>30</v>
      </c>
      <c r="I651" s="807">
        <f>ROUND(I650,-3)</f>
        <v>1747000</v>
      </c>
    </row>
    <row r="652" spans="1:11" ht="15.6">
      <c r="A652" s="49"/>
      <c r="B652" s="49"/>
      <c r="C652" s="49"/>
      <c r="D652" s="823"/>
      <c r="E652" s="49"/>
      <c r="F652" s="49"/>
      <c r="G652" s="49"/>
      <c r="H652" s="49"/>
      <c r="I652" s="50"/>
    </row>
    <row r="653" spans="1:11" ht="15.6">
      <c r="A653" s="51"/>
      <c r="B653" s="51"/>
      <c r="C653" s="51"/>
      <c r="D653" s="1497"/>
      <c r="E653" s="51"/>
      <c r="F653" s="51"/>
      <c r="G653" s="51"/>
      <c r="H653" s="1509" t="s">
        <v>2464</v>
      </c>
      <c r="I653" s="1509"/>
    </row>
    <row r="654" spans="1:11" ht="15.6">
      <c r="A654" s="1509" t="s">
        <v>31</v>
      </c>
      <c r="B654" s="1509"/>
      <c r="C654" s="1509"/>
      <c r="D654" s="1509" t="s">
        <v>32</v>
      </c>
      <c r="E654" s="1509"/>
      <c r="F654" s="1509"/>
      <c r="G654" s="51"/>
      <c r="H654" s="1509" t="s">
        <v>33</v>
      </c>
      <c r="I654" s="1509"/>
    </row>
    <row r="655" spans="1:11" ht="15.6">
      <c r="A655" s="51"/>
      <c r="B655" s="51"/>
      <c r="C655" s="51"/>
      <c r="D655" s="1497"/>
      <c r="E655" s="51"/>
      <c r="F655" s="51"/>
      <c r="G655" s="51"/>
      <c r="H655" s="51"/>
      <c r="I655" s="51"/>
    </row>
    <row r="656" spans="1:11" ht="15.6">
      <c r="A656" s="51"/>
      <c r="B656" s="51"/>
      <c r="C656" s="51"/>
      <c r="D656" s="1497"/>
      <c r="E656" s="51"/>
      <c r="F656" s="51"/>
      <c r="G656" s="51"/>
      <c r="H656" s="51"/>
      <c r="I656" s="51"/>
    </row>
    <row r="657" spans="1:14" ht="15.6">
      <c r="A657" s="51"/>
      <c r="B657" s="51"/>
      <c r="C657" s="51"/>
      <c r="D657" s="1497"/>
      <c r="E657" s="51"/>
      <c r="F657" s="51"/>
      <c r="G657" s="51"/>
      <c r="H657" s="51"/>
      <c r="I657" s="51"/>
    </row>
    <row r="658" spans="1:14" ht="15.6">
      <c r="A658" s="1512" t="s">
        <v>2256</v>
      </c>
      <c r="B658" s="1512"/>
      <c r="C658" s="1512"/>
      <c r="D658" s="1512" t="s">
        <v>2248</v>
      </c>
      <c r="E658" s="1512"/>
      <c r="F658" s="1512"/>
      <c r="G658" s="1512"/>
      <c r="H658" s="1512" t="s">
        <v>2257</v>
      </c>
      <c r="I658" s="1512"/>
    </row>
    <row r="659" spans="1:14" ht="15.6">
      <c r="A659" s="1509" t="s">
        <v>2247</v>
      </c>
      <c r="B659" s="1509"/>
      <c r="C659" s="1509"/>
      <c r="D659" s="1509" t="s">
        <v>1604</v>
      </c>
      <c r="E659" s="1509"/>
      <c r="F659" s="1509"/>
      <c r="G659" s="1509"/>
      <c r="H659" s="1509" t="s">
        <v>39</v>
      </c>
      <c r="I659" s="1509"/>
    </row>
    <row r="662" spans="1:14" ht="28.8">
      <c r="A662" s="1513" t="s">
        <v>1705</v>
      </c>
      <c r="B662" s="1513"/>
      <c r="C662" s="1513"/>
      <c r="D662" s="1513"/>
      <c r="E662" s="1513"/>
      <c r="F662" s="1513"/>
      <c r="G662" s="1513"/>
      <c r="H662" s="1513"/>
      <c r="I662" s="1513"/>
    </row>
    <row r="663" spans="1:14" s="1141" customFormat="1" ht="24.75" customHeight="1">
      <c r="A663" s="830" t="s">
        <v>2278</v>
      </c>
      <c r="C663" s="1514" t="s">
        <v>2360</v>
      </c>
      <c r="D663" s="1514"/>
      <c r="E663" s="1514"/>
      <c r="F663" s="1514"/>
      <c r="G663" s="1514"/>
      <c r="H663" s="1514"/>
      <c r="I663" s="1514"/>
    </row>
    <row r="664" spans="1:14" s="1141" customFormat="1" ht="21">
      <c r="A664" s="830" t="s">
        <v>1208</v>
      </c>
      <c r="C664" s="1515" t="s">
        <v>2456</v>
      </c>
      <c r="D664" s="1515"/>
      <c r="E664" s="1515"/>
      <c r="F664" s="1515"/>
      <c r="G664" s="1515"/>
      <c r="H664" s="1515"/>
      <c r="I664" s="1515"/>
    </row>
    <row r="665" spans="1:14" ht="15.6">
      <c r="A665" s="1500"/>
      <c r="B665" s="1500"/>
      <c r="C665" s="1500"/>
      <c r="D665" s="1500"/>
      <c r="E665" s="1500"/>
      <c r="F665" s="1500"/>
      <c r="G665" s="1500"/>
      <c r="H665" s="1500"/>
      <c r="I665" s="1500"/>
    </row>
    <row r="666" spans="1:14" ht="15.6">
      <c r="A666" s="1516" t="s">
        <v>3</v>
      </c>
      <c r="B666" s="1518" t="s">
        <v>4</v>
      </c>
      <c r="C666" s="1519"/>
      <c r="D666" s="1516" t="s">
        <v>5</v>
      </c>
      <c r="E666" s="1516" t="s">
        <v>6</v>
      </c>
      <c r="F666" s="1516" t="s">
        <v>7</v>
      </c>
      <c r="G666" s="770" t="s">
        <v>8</v>
      </c>
      <c r="H666" s="770" t="s">
        <v>9</v>
      </c>
      <c r="I666" s="770" t="s">
        <v>10</v>
      </c>
    </row>
    <row r="667" spans="1:14" ht="15.6">
      <c r="A667" s="1517"/>
      <c r="B667" s="1520"/>
      <c r="C667" s="1521"/>
      <c r="D667" s="1517"/>
      <c r="E667" s="1517"/>
      <c r="F667" s="1517"/>
      <c r="G667" s="771" t="s">
        <v>11</v>
      </c>
      <c r="H667" s="771" t="s">
        <v>11</v>
      </c>
      <c r="I667" s="771" t="s">
        <v>11</v>
      </c>
    </row>
    <row r="668" spans="1:14" ht="15.6">
      <c r="A668" s="770" t="s">
        <v>12</v>
      </c>
      <c r="B668" s="1393" t="s">
        <v>364</v>
      </c>
      <c r="C668" s="1390"/>
      <c r="D668" s="1369"/>
      <c r="E668" s="774"/>
      <c r="F668" s="774"/>
      <c r="G668" s="774"/>
      <c r="H668" s="775"/>
      <c r="I668" s="776"/>
    </row>
    <row r="669" spans="1:14" s="1378" customFormat="1" ht="37.5" customHeight="1">
      <c r="A669" s="1374">
        <v>1</v>
      </c>
      <c r="B669" s="1510" t="s">
        <v>2362</v>
      </c>
      <c r="C669" s="1511"/>
      <c r="D669" s="1375">
        <v>1</v>
      </c>
      <c r="E669" s="1374" t="s">
        <v>403</v>
      </c>
      <c r="F669" s="1374" t="s">
        <v>16</v>
      </c>
      <c r="G669" s="1376">
        <v>2150000</v>
      </c>
      <c r="H669" s="1376">
        <f>+G669*D669</f>
        <v>2150000</v>
      </c>
      <c r="I669" s="1377"/>
      <c r="M669" s="1378">
        <f>280000/6</f>
        <v>46666.666666666664</v>
      </c>
      <c r="N669" s="1378">
        <f>15*2.5</f>
        <v>37.5</v>
      </c>
    </row>
    <row r="670" spans="1:14" s="1397" customFormat="1" ht="18.75" customHeight="1">
      <c r="A670" s="1374">
        <f>+A669+1</f>
        <v>2</v>
      </c>
      <c r="B670" s="1510" t="s">
        <v>2363</v>
      </c>
      <c r="C670" s="1511"/>
      <c r="D670" s="1375">
        <f>+D669</f>
        <v>1</v>
      </c>
      <c r="E670" s="1374" t="s">
        <v>1870</v>
      </c>
      <c r="F670" s="1374" t="s">
        <v>82</v>
      </c>
      <c r="G670" s="1395">
        <v>37000</v>
      </c>
      <c r="H670" s="1395">
        <f>+G670*D670</f>
        <v>37000</v>
      </c>
      <c r="I670" s="1396"/>
    </row>
    <row r="671" spans="1:14" s="1397" customFormat="1" ht="19.5" customHeight="1">
      <c r="A671" s="1374">
        <f t="shared" ref="A671:A673" si="39">+A670+1</f>
        <v>3</v>
      </c>
      <c r="B671" s="1510" t="s">
        <v>2364</v>
      </c>
      <c r="C671" s="1511"/>
      <c r="D671" s="1375">
        <v>2</v>
      </c>
      <c r="E671" s="1374" t="s">
        <v>403</v>
      </c>
      <c r="F671" s="1374" t="s">
        <v>82</v>
      </c>
      <c r="G671" s="1395">
        <v>18000</v>
      </c>
      <c r="H671" s="1395">
        <f>+G671*D671</f>
        <v>36000</v>
      </c>
      <c r="I671" s="1396"/>
    </row>
    <row r="672" spans="1:14" ht="15.6">
      <c r="A672" s="1374">
        <f t="shared" si="39"/>
        <v>4</v>
      </c>
      <c r="B672" s="820" t="s">
        <v>2365</v>
      </c>
      <c r="C672" s="1391"/>
      <c r="D672" s="779">
        <v>2</v>
      </c>
      <c r="E672" s="780" t="s">
        <v>179</v>
      </c>
      <c r="F672" s="780" t="s">
        <v>82</v>
      </c>
      <c r="G672" s="791">
        <v>3025</v>
      </c>
      <c r="H672" s="791">
        <f t="shared" ref="H672:H673" si="40">+G672*D672</f>
        <v>6050</v>
      </c>
      <c r="I672" s="971"/>
      <c r="K672" s="1">
        <f>24*3*2</f>
        <v>144</v>
      </c>
    </row>
    <row r="673" spans="1:11" ht="15.6">
      <c r="A673" s="1374">
        <f t="shared" si="39"/>
        <v>5</v>
      </c>
      <c r="B673" s="778" t="s">
        <v>2366</v>
      </c>
      <c r="C673" s="1391"/>
      <c r="D673" s="779">
        <v>4</v>
      </c>
      <c r="E673" s="780" t="s">
        <v>1374</v>
      </c>
      <c r="F673" s="780" t="s">
        <v>82</v>
      </c>
      <c r="G673" s="791">
        <v>8000</v>
      </c>
      <c r="H673" s="791">
        <f t="shared" si="40"/>
        <v>32000</v>
      </c>
      <c r="I673" s="971"/>
      <c r="K673" s="1">
        <f>24*3*2</f>
        <v>144</v>
      </c>
    </row>
    <row r="674" spans="1:11" ht="15.6">
      <c r="A674" s="814"/>
      <c r="B674" s="820"/>
      <c r="C674" s="1391"/>
      <c r="D674" s="782"/>
      <c r="E674" s="780"/>
      <c r="F674" s="780"/>
      <c r="G674" s="781"/>
      <c r="H674" s="817"/>
      <c r="I674" s="818">
        <f>SUM(H669:H674)</f>
        <v>2261050</v>
      </c>
    </row>
    <row r="675" spans="1:11" ht="15.6">
      <c r="A675" s="786" t="s">
        <v>18</v>
      </c>
      <c r="B675" s="1393" t="s">
        <v>19</v>
      </c>
      <c r="C675" s="1390"/>
      <c r="D675" s="1369"/>
      <c r="E675" s="1370"/>
      <c r="F675" s="1370"/>
      <c r="G675" s="1371"/>
      <c r="H675" s="781"/>
      <c r="I675" s="1133"/>
      <c r="K675" s="1">
        <f>21*3*2</f>
        <v>126</v>
      </c>
    </row>
    <row r="676" spans="1:11" ht="15.6">
      <c r="A676" s="790">
        <v>1</v>
      </c>
      <c r="B676" s="820" t="s">
        <v>2230</v>
      </c>
      <c r="C676" s="1391"/>
      <c r="D676" s="779">
        <v>1</v>
      </c>
      <c r="E676" s="780" t="s">
        <v>1878</v>
      </c>
      <c r="F676" s="780" t="s">
        <v>373</v>
      </c>
      <c r="G676" s="788">
        <v>135000</v>
      </c>
      <c r="H676" s="788">
        <f>G676*D676</f>
        <v>135000</v>
      </c>
      <c r="I676" s="789"/>
    </row>
    <row r="677" spans="1:11" ht="15.6">
      <c r="A677" s="790">
        <f>A676+1</f>
        <v>2</v>
      </c>
      <c r="B677" s="820" t="s">
        <v>2273</v>
      </c>
      <c r="C677" s="1391"/>
      <c r="D677" s="779">
        <v>1</v>
      </c>
      <c r="E677" s="780" t="s">
        <v>2274</v>
      </c>
      <c r="F677" s="780" t="s">
        <v>373</v>
      </c>
      <c r="G677" s="788">
        <v>90000</v>
      </c>
      <c r="H677" s="788">
        <f>G677*D677</f>
        <v>90000</v>
      </c>
      <c r="I677" s="789"/>
    </row>
    <row r="678" spans="1:11" ht="15.6">
      <c r="A678" s="790"/>
      <c r="B678" s="1394"/>
      <c r="C678" s="1392"/>
      <c r="D678" s="791"/>
      <c r="E678" s="780"/>
      <c r="F678" s="780"/>
      <c r="G678" s="788"/>
      <c r="H678" s="788"/>
      <c r="I678" s="807">
        <f>SUM(H676:H677)</f>
        <v>225000</v>
      </c>
    </row>
    <row r="679" spans="1:11" ht="15.6">
      <c r="A679" s="793"/>
      <c r="B679" s="783"/>
      <c r="C679" s="783"/>
      <c r="D679" s="1410"/>
      <c r="E679" s="795"/>
      <c r="F679" s="811"/>
      <c r="G679" s="811" t="s">
        <v>25</v>
      </c>
      <c r="H679" s="813"/>
      <c r="I679" s="810">
        <f>I674+I678</f>
        <v>2486050</v>
      </c>
    </row>
    <row r="680" spans="1:11" ht="15.6">
      <c r="A680" s="796"/>
      <c r="B680" s="797"/>
      <c r="C680" s="797"/>
      <c r="D680" s="784"/>
      <c r="E680" s="784"/>
      <c r="F680" s="785"/>
      <c r="G680" s="812"/>
      <c r="H680" s="798"/>
      <c r="I680" s="826"/>
    </row>
    <row r="681" spans="1:11" ht="15.6">
      <c r="A681" s="799"/>
      <c r="B681" s="800" t="s">
        <v>549</v>
      </c>
      <c r="C681" s="800"/>
      <c r="D681" s="1411"/>
      <c r="E681" s="800"/>
      <c r="F681" s="800"/>
      <c r="G681" s="801"/>
      <c r="H681" s="828" t="s">
        <v>28</v>
      </c>
      <c r="I681" s="775">
        <f>I679</f>
        <v>2486050</v>
      </c>
    </row>
    <row r="682" spans="1:11" ht="15.6">
      <c r="A682" s="802"/>
      <c r="B682" s="1398" t="s">
        <v>2411</v>
      </c>
      <c r="C682" s="803"/>
      <c r="D682" s="1412"/>
      <c r="E682" s="804"/>
      <c r="F682" s="804"/>
      <c r="G682" s="805"/>
      <c r="H682" s="829" t="s">
        <v>30</v>
      </c>
      <c r="I682" s="807">
        <f>ROUND(I681,-3)</f>
        <v>2486000</v>
      </c>
    </row>
    <row r="683" spans="1:11" ht="15.6">
      <c r="A683" s="49"/>
      <c r="B683" s="49"/>
      <c r="C683" s="49"/>
      <c r="D683" s="823"/>
      <c r="E683" s="49"/>
      <c r="F683" s="49"/>
      <c r="G683" s="49"/>
      <c r="H683" s="49"/>
      <c r="I683" s="50"/>
    </row>
    <row r="684" spans="1:11" ht="15.6">
      <c r="A684" s="51"/>
      <c r="B684" s="51"/>
      <c r="C684" s="51"/>
      <c r="D684" s="1499"/>
      <c r="E684" s="51"/>
      <c r="F684" s="51"/>
      <c r="G684" s="51"/>
      <c r="H684" s="1509" t="s">
        <v>2462</v>
      </c>
      <c r="I684" s="1509"/>
    </row>
    <row r="685" spans="1:11" ht="15.6">
      <c r="A685" s="1509" t="s">
        <v>234</v>
      </c>
      <c r="B685" s="1509"/>
      <c r="C685" s="1509"/>
      <c r="D685" s="1509" t="s">
        <v>32</v>
      </c>
      <c r="E685" s="1509"/>
      <c r="F685" s="1509"/>
      <c r="G685" s="1509"/>
      <c r="H685" s="1509" t="s">
        <v>33</v>
      </c>
      <c r="I685" s="1509"/>
    </row>
    <row r="686" spans="1:11" ht="15.6">
      <c r="A686" s="51"/>
      <c r="B686" s="51"/>
      <c r="C686" s="51"/>
      <c r="D686" s="1499"/>
      <c r="E686" s="51"/>
      <c r="F686" s="51"/>
      <c r="G686" s="51"/>
      <c r="H686" s="51"/>
      <c r="I686" s="51"/>
    </row>
    <row r="687" spans="1:11" ht="15.6">
      <c r="A687" s="51"/>
      <c r="B687" s="51"/>
      <c r="C687" s="51"/>
      <c r="D687" s="1499"/>
      <c r="E687" s="51"/>
      <c r="F687" s="51"/>
      <c r="G687" s="51"/>
      <c r="H687" s="51"/>
      <c r="I687" s="51"/>
    </row>
    <row r="688" spans="1:11" ht="15.6">
      <c r="A688" s="51"/>
      <c r="B688" s="51"/>
      <c r="C688" s="51"/>
      <c r="D688" s="1499"/>
      <c r="E688" s="51"/>
      <c r="F688" s="51"/>
      <c r="G688" s="51"/>
      <c r="H688" s="51"/>
      <c r="I688" s="51"/>
    </row>
    <row r="689" spans="1:9" ht="15.6">
      <c r="A689" s="1512" t="s">
        <v>2256</v>
      </c>
      <c r="B689" s="1512"/>
      <c r="C689" s="1512"/>
      <c r="D689" s="1512" t="s">
        <v>2248</v>
      </c>
      <c r="E689" s="1512"/>
      <c r="F689" s="1512"/>
      <c r="G689" s="1512"/>
      <c r="H689" s="1512" t="s">
        <v>2257</v>
      </c>
      <c r="I689" s="1512"/>
    </row>
    <row r="690" spans="1:9" ht="15.6">
      <c r="A690" s="1509" t="s">
        <v>2247</v>
      </c>
      <c r="B690" s="1509"/>
      <c r="C690" s="1509"/>
      <c r="D690" s="1509" t="s">
        <v>1604</v>
      </c>
      <c r="E690" s="1509"/>
      <c r="F690" s="1509"/>
      <c r="G690" s="1509"/>
      <c r="H690" s="1509" t="s">
        <v>39</v>
      </c>
      <c r="I690" s="1509"/>
    </row>
  </sheetData>
  <mergeCells count="406">
    <mergeCell ref="B642:C642"/>
    <mergeCell ref="H653:I653"/>
    <mergeCell ref="A654:C654"/>
    <mergeCell ref="D654:F654"/>
    <mergeCell ref="H654:I654"/>
    <mergeCell ref="A658:C658"/>
    <mergeCell ref="H658:I658"/>
    <mergeCell ref="A659:C659"/>
    <mergeCell ref="H659:I659"/>
    <mergeCell ref="D658:G658"/>
    <mergeCell ref="D659:G659"/>
    <mergeCell ref="B627:I627"/>
    <mergeCell ref="B628:I628"/>
    <mergeCell ref="B629:I629"/>
    <mergeCell ref="A631:A632"/>
    <mergeCell ref="B631:C632"/>
    <mergeCell ref="D631:D632"/>
    <mergeCell ref="E631:E632"/>
    <mergeCell ref="F631:F632"/>
    <mergeCell ref="B634:C634"/>
    <mergeCell ref="A624:C624"/>
    <mergeCell ref="D624:G624"/>
    <mergeCell ref="H624:I624"/>
    <mergeCell ref="B606:C606"/>
    <mergeCell ref="H618:I618"/>
    <mergeCell ref="A619:C619"/>
    <mergeCell ref="D619:G619"/>
    <mergeCell ref="H619:I619"/>
    <mergeCell ref="A623:C623"/>
    <mergeCell ref="D623:G623"/>
    <mergeCell ref="H623:I623"/>
    <mergeCell ref="A598:I598"/>
    <mergeCell ref="C599:I599"/>
    <mergeCell ref="C600:I600"/>
    <mergeCell ref="A602:A603"/>
    <mergeCell ref="B602:C603"/>
    <mergeCell ref="D602:D603"/>
    <mergeCell ref="E602:E603"/>
    <mergeCell ref="F602:F603"/>
    <mergeCell ref="B605:C605"/>
    <mergeCell ref="A595:C595"/>
    <mergeCell ref="D595:G595"/>
    <mergeCell ref="H595:I595"/>
    <mergeCell ref="B576:C576"/>
    <mergeCell ref="B577:C577"/>
    <mergeCell ref="H589:I589"/>
    <mergeCell ref="A590:C590"/>
    <mergeCell ref="D590:G590"/>
    <mergeCell ref="H590:I590"/>
    <mergeCell ref="A594:C594"/>
    <mergeCell ref="D594:G594"/>
    <mergeCell ref="H594:I594"/>
    <mergeCell ref="A568:I568"/>
    <mergeCell ref="C569:I569"/>
    <mergeCell ref="C570:I570"/>
    <mergeCell ref="A572:A573"/>
    <mergeCell ref="B572:C573"/>
    <mergeCell ref="D572:D573"/>
    <mergeCell ref="E572:E573"/>
    <mergeCell ref="F572:F573"/>
    <mergeCell ref="B575:C575"/>
    <mergeCell ref="A565:C565"/>
    <mergeCell ref="D565:G565"/>
    <mergeCell ref="H565:I565"/>
    <mergeCell ref="B539:C539"/>
    <mergeCell ref="B548:C548"/>
    <mergeCell ref="B549:C549"/>
    <mergeCell ref="H559:I559"/>
    <mergeCell ref="A560:C560"/>
    <mergeCell ref="D560:G560"/>
    <mergeCell ref="H560:I560"/>
    <mergeCell ref="A564:C564"/>
    <mergeCell ref="D564:G564"/>
    <mergeCell ref="H564:I564"/>
    <mergeCell ref="A530:I530"/>
    <mergeCell ref="C531:I531"/>
    <mergeCell ref="C532:I532"/>
    <mergeCell ref="A534:A535"/>
    <mergeCell ref="B534:C535"/>
    <mergeCell ref="D534:D535"/>
    <mergeCell ref="E534:E535"/>
    <mergeCell ref="F534:F535"/>
    <mergeCell ref="B538:C538"/>
    <mergeCell ref="B475:C475"/>
    <mergeCell ref="H487:I487"/>
    <mergeCell ref="A488:C488"/>
    <mergeCell ref="D488:F488"/>
    <mergeCell ref="B458:I458"/>
    <mergeCell ref="B459:I459"/>
    <mergeCell ref="B460:I460"/>
    <mergeCell ref="A462:A463"/>
    <mergeCell ref="B462:C463"/>
    <mergeCell ref="D462:D463"/>
    <mergeCell ref="E462:E463"/>
    <mergeCell ref="F462:F463"/>
    <mergeCell ref="B465:C465"/>
    <mergeCell ref="H488:I488"/>
    <mergeCell ref="H448:I448"/>
    <mergeCell ref="A449:C449"/>
    <mergeCell ref="D449:F449"/>
    <mergeCell ref="H449:I449"/>
    <mergeCell ref="A453:C453"/>
    <mergeCell ref="D453:F453"/>
    <mergeCell ref="H453:I453"/>
    <mergeCell ref="A454:C454"/>
    <mergeCell ref="D454:F454"/>
    <mergeCell ref="H454:I454"/>
    <mergeCell ref="B421:I421"/>
    <mergeCell ref="B422:I422"/>
    <mergeCell ref="B423:I423"/>
    <mergeCell ref="A425:A426"/>
    <mergeCell ref="B425:C426"/>
    <mergeCell ref="D425:D426"/>
    <mergeCell ref="E425:E426"/>
    <mergeCell ref="F425:F426"/>
    <mergeCell ref="B436:C436"/>
    <mergeCell ref="B428:C428"/>
    <mergeCell ref="A380:C380"/>
    <mergeCell ref="D380:G380"/>
    <mergeCell ref="H380:I380"/>
    <mergeCell ref="H374:I374"/>
    <mergeCell ref="A375:C375"/>
    <mergeCell ref="D375:G375"/>
    <mergeCell ref="H375:I375"/>
    <mergeCell ref="A379:C379"/>
    <mergeCell ref="D379:G379"/>
    <mergeCell ref="H379:I379"/>
    <mergeCell ref="A357:I357"/>
    <mergeCell ref="C358:I358"/>
    <mergeCell ref="C359:I359"/>
    <mergeCell ref="A361:A362"/>
    <mergeCell ref="B361:C362"/>
    <mergeCell ref="D361:D362"/>
    <mergeCell ref="E361:E362"/>
    <mergeCell ref="F361:F362"/>
    <mergeCell ref="B364:C364"/>
    <mergeCell ref="A352:C352"/>
    <mergeCell ref="D352:G352"/>
    <mergeCell ref="H352:I352"/>
    <mergeCell ref="B332:C332"/>
    <mergeCell ref="B333:C333"/>
    <mergeCell ref="H346:I346"/>
    <mergeCell ref="A347:C347"/>
    <mergeCell ref="D347:G347"/>
    <mergeCell ref="H347:I347"/>
    <mergeCell ref="A351:C351"/>
    <mergeCell ref="D351:G351"/>
    <mergeCell ref="H351:I351"/>
    <mergeCell ref="A324:I324"/>
    <mergeCell ref="C325:I325"/>
    <mergeCell ref="C326:I326"/>
    <mergeCell ref="A328:A329"/>
    <mergeCell ref="B328:C329"/>
    <mergeCell ref="D328:D329"/>
    <mergeCell ref="E328:E329"/>
    <mergeCell ref="F328:F329"/>
    <mergeCell ref="B331:C331"/>
    <mergeCell ref="A193:A194"/>
    <mergeCell ref="B193:B194"/>
    <mergeCell ref="D193:D194"/>
    <mergeCell ref="E193:E194"/>
    <mergeCell ref="F193:F194"/>
    <mergeCell ref="H202:I202"/>
    <mergeCell ref="A190:I190"/>
    <mergeCell ref="A191:I191"/>
    <mergeCell ref="A203:B203"/>
    <mergeCell ref="D203:F203"/>
    <mergeCell ref="H203:I203"/>
    <mergeCell ref="A10:A11"/>
    <mergeCell ref="B10:B11"/>
    <mergeCell ref="D10:D11"/>
    <mergeCell ref="E10:E11"/>
    <mergeCell ref="F10:F11"/>
    <mergeCell ref="A186:B186"/>
    <mergeCell ref="D186:F186"/>
    <mergeCell ref="H186:I186"/>
    <mergeCell ref="H180:I180"/>
    <mergeCell ref="A181:B181"/>
    <mergeCell ref="D181:F181"/>
    <mergeCell ref="H181:I181"/>
    <mergeCell ref="A185:B185"/>
    <mergeCell ref="D185:F185"/>
    <mergeCell ref="H185:I185"/>
    <mergeCell ref="A155:A156"/>
    <mergeCell ref="B155:B156"/>
    <mergeCell ref="D155:D156"/>
    <mergeCell ref="E155:E156"/>
    <mergeCell ref="F155:F156"/>
    <mergeCell ref="D36:F36"/>
    <mergeCell ref="H36:I36"/>
    <mergeCell ref="G14:H14"/>
    <mergeCell ref="A32:B32"/>
    <mergeCell ref="D32:F32"/>
    <mergeCell ref="H32:I32"/>
    <mergeCell ref="D77:I77"/>
    <mergeCell ref="D78:I78"/>
    <mergeCell ref="D79:I79"/>
    <mergeCell ref="E82:E83"/>
    <mergeCell ref="F46:F47"/>
    <mergeCell ref="A37:B37"/>
    <mergeCell ref="D37:F37"/>
    <mergeCell ref="H37:I37"/>
    <mergeCell ref="D41:I41"/>
    <mergeCell ref="D42:I42"/>
    <mergeCell ref="D43:I43"/>
    <mergeCell ref="A46:A47"/>
    <mergeCell ref="B46:B47"/>
    <mergeCell ref="D46:D47"/>
    <mergeCell ref="E46:E47"/>
    <mergeCell ref="G49:H49"/>
    <mergeCell ref="A82:A83"/>
    <mergeCell ref="B82:B83"/>
    <mergeCell ref="D82:D83"/>
    <mergeCell ref="H72:I72"/>
    <mergeCell ref="H73:I73"/>
    <mergeCell ref="G51:H51"/>
    <mergeCell ref="D5:I5"/>
    <mergeCell ref="D6:I6"/>
    <mergeCell ref="D7:I7"/>
    <mergeCell ref="A36:B36"/>
    <mergeCell ref="A145:B145"/>
    <mergeCell ref="D145:F145"/>
    <mergeCell ref="H145:I145"/>
    <mergeCell ref="F82:F83"/>
    <mergeCell ref="G85:H85"/>
    <mergeCell ref="G87:H87"/>
    <mergeCell ref="H103:I103"/>
    <mergeCell ref="A104:B104"/>
    <mergeCell ref="A109:B109"/>
    <mergeCell ref="G123:H123"/>
    <mergeCell ref="E118:E119"/>
    <mergeCell ref="F118:F119"/>
    <mergeCell ref="H139:I139"/>
    <mergeCell ref="A144:B144"/>
    <mergeCell ref="D144:F144"/>
    <mergeCell ref="H144:I144"/>
    <mergeCell ref="H140:I140"/>
    <mergeCell ref="A140:B140"/>
    <mergeCell ref="G15:H15"/>
    <mergeCell ref="H31:I31"/>
    <mergeCell ref="H67:I67"/>
    <mergeCell ref="H68:I68"/>
    <mergeCell ref="A72:B72"/>
    <mergeCell ref="D72:F72"/>
    <mergeCell ref="A73:B73"/>
    <mergeCell ref="D73:F73"/>
    <mergeCell ref="A68:B68"/>
    <mergeCell ref="D68:F68"/>
    <mergeCell ref="H104:I104"/>
    <mergeCell ref="A108:B108"/>
    <mergeCell ref="D108:F108"/>
    <mergeCell ref="H108:I108"/>
    <mergeCell ref="D104:F104"/>
    <mergeCell ref="D112:F112"/>
    <mergeCell ref="A112:B112"/>
    <mergeCell ref="H207:I207"/>
    <mergeCell ref="A208:B208"/>
    <mergeCell ref="D208:F208"/>
    <mergeCell ref="H208:I208"/>
    <mergeCell ref="A207:B207"/>
    <mergeCell ref="D207:F207"/>
    <mergeCell ref="B196:C196"/>
    <mergeCell ref="D140:F140"/>
    <mergeCell ref="A118:A119"/>
    <mergeCell ref="B118:B119"/>
    <mergeCell ref="D118:D119"/>
    <mergeCell ref="D114:I114"/>
    <mergeCell ref="D115:I115"/>
    <mergeCell ref="D113:I113"/>
    <mergeCell ref="H112:I112"/>
    <mergeCell ref="D109:F109"/>
    <mergeCell ref="H109:I109"/>
    <mergeCell ref="B151:I151"/>
    <mergeCell ref="A215:A216"/>
    <mergeCell ref="D215:D216"/>
    <mergeCell ref="E215:E216"/>
    <mergeCell ref="F215:F216"/>
    <mergeCell ref="H232:I232"/>
    <mergeCell ref="A211:I211"/>
    <mergeCell ref="C212:I212"/>
    <mergeCell ref="C213:I213"/>
    <mergeCell ref="B218:C218"/>
    <mergeCell ref="B219:C219"/>
    <mergeCell ref="B215:C216"/>
    <mergeCell ref="A246:A247"/>
    <mergeCell ref="B246:C247"/>
    <mergeCell ref="D246:D247"/>
    <mergeCell ref="E246:E247"/>
    <mergeCell ref="F246:F247"/>
    <mergeCell ref="B250:C250"/>
    <mergeCell ref="B251:C251"/>
    <mergeCell ref="B252:C252"/>
    <mergeCell ref="H233:I233"/>
    <mergeCell ref="H237:I237"/>
    <mergeCell ref="H238:I238"/>
    <mergeCell ref="A233:C233"/>
    <mergeCell ref="A237:C237"/>
    <mergeCell ref="A238:C238"/>
    <mergeCell ref="D233:G233"/>
    <mergeCell ref="D237:G237"/>
    <mergeCell ref="D238:G238"/>
    <mergeCell ref="H282:I282"/>
    <mergeCell ref="A283:C283"/>
    <mergeCell ref="D283:G283"/>
    <mergeCell ref="H283:I283"/>
    <mergeCell ref="A287:C287"/>
    <mergeCell ref="D287:G287"/>
    <mergeCell ref="H287:I287"/>
    <mergeCell ref="A288:C288"/>
    <mergeCell ref="D288:G288"/>
    <mergeCell ref="H288:I288"/>
    <mergeCell ref="H314:I314"/>
    <mergeCell ref="A318:C318"/>
    <mergeCell ref="D318:G318"/>
    <mergeCell ref="H318:I318"/>
    <mergeCell ref="A291:I291"/>
    <mergeCell ref="C292:I292"/>
    <mergeCell ref="C293:I293"/>
    <mergeCell ref="A295:A296"/>
    <mergeCell ref="B295:C296"/>
    <mergeCell ref="D295:D296"/>
    <mergeCell ref="E295:E296"/>
    <mergeCell ref="F295:F296"/>
    <mergeCell ref="B152:I152"/>
    <mergeCell ref="B153:I153"/>
    <mergeCell ref="B383:I383"/>
    <mergeCell ref="B384:I384"/>
    <mergeCell ref="B385:I385"/>
    <mergeCell ref="A387:A388"/>
    <mergeCell ref="D387:D388"/>
    <mergeCell ref="E387:E388"/>
    <mergeCell ref="F387:F388"/>
    <mergeCell ref="B387:C388"/>
    <mergeCell ref="B266:C266"/>
    <mergeCell ref="B267:C267"/>
    <mergeCell ref="A242:I242"/>
    <mergeCell ref="C243:I243"/>
    <mergeCell ref="C244:I244"/>
    <mergeCell ref="A319:C319"/>
    <mergeCell ref="D319:G319"/>
    <mergeCell ref="H319:I319"/>
    <mergeCell ref="B300:C300"/>
    <mergeCell ref="B298:C298"/>
    <mergeCell ref="B299:C299"/>
    <mergeCell ref="H313:I313"/>
    <mergeCell ref="A314:C314"/>
    <mergeCell ref="D314:G314"/>
    <mergeCell ref="B399:C399"/>
    <mergeCell ref="H412:I412"/>
    <mergeCell ref="D413:F413"/>
    <mergeCell ref="H413:I413"/>
    <mergeCell ref="D417:F417"/>
    <mergeCell ref="H417:I417"/>
    <mergeCell ref="D418:F418"/>
    <mergeCell ref="H418:I418"/>
    <mergeCell ref="A413:C413"/>
    <mergeCell ref="A417:C417"/>
    <mergeCell ref="A418:C418"/>
    <mergeCell ref="A492:C492"/>
    <mergeCell ref="D492:F492"/>
    <mergeCell ref="H492:I492"/>
    <mergeCell ref="A493:C493"/>
    <mergeCell ref="D493:F493"/>
    <mergeCell ref="H493:I493"/>
    <mergeCell ref="B496:I496"/>
    <mergeCell ref="B497:I497"/>
    <mergeCell ref="B498:I498"/>
    <mergeCell ref="A500:A501"/>
    <mergeCell ref="B500:C501"/>
    <mergeCell ref="D500:D501"/>
    <mergeCell ref="E500:E501"/>
    <mergeCell ref="F500:F501"/>
    <mergeCell ref="B503:C503"/>
    <mergeCell ref="B510:C510"/>
    <mergeCell ref="H521:I521"/>
    <mergeCell ref="B509:C509"/>
    <mergeCell ref="A522:C522"/>
    <mergeCell ref="D522:F522"/>
    <mergeCell ref="H522:I522"/>
    <mergeCell ref="A526:C526"/>
    <mergeCell ref="D526:F526"/>
    <mergeCell ref="H526:I526"/>
    <mergeCell ref="A527:C527"/>
    <mergeCell ref="D527:F527"/>
    <mergeCell ref="H527:I527"/>
    <mergeCell ref="A662:I662"/>
    <mergeCell ref="C663:I663"/>
    <mergeCell ref="C664:I664"/>
    <mergeCell ref="A666:A667"/>
    <mergeCell ref="B666:C667"/>
    <mergeCell ref="D666:D667"/>
    <mergeCell ref="E666:E667"/>
    <mergeCell ref="F666:F667"/>
    <mergeCell ref="B669:C669"/>
    <mergeCell ref="A690:C690"/>
    <mergeCell ref="D690:G690"/>
    <mergeCell ref="H690:I690"/>
    <mergeCell ref="B670:C670"/>
    <mergeCell ref="B671:C671"/>
    <mergeCell ref="H684:I684"/>
    <mergeCell ref="A685:C685"/>
    <mergeCell ref="D685:G685"/>
    <mergeCell ref="H685:I685"/>
    <mergeCell ref="A689:C689"/>
    <mergeCell ref="D689:G689"/>
    <mergeCell ref="H689:I689"/>
  </mergeCells>
  <printOptions horizontalCentered="1"/>
  <pageMargins left="0.31496062992125984" right="0.31496062992125984" top="0.82677165354330717" bottom="0.55118110236220474" header="1.7716535433070868" footer="0.74803149606299213"/>
  <pageSetup paperSize="14" scale="82" firstPageNumber="4294963191" orientation="portrait" horizontalDpi="4294967293" vertic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2:Q2410"/>
  <sheetViews>
    <sheetView topLeftCell="A800" zoomScale="70" zoomScaleNormal="70" workbookViewId="0">
      <selection activeCell="B813" sqref="B813"/>
    </sheetView>
  </sheetViews>
  <sheetFormatPr defaultColWidth="9.109375" defaultRowHeight="12"/>
  <cols>
    <col min="1" max="1" width="4.5546875" style="1" customWidth="1"/>
    <col min="2" max="2" width="76.33203125" style="1" customWidth="1"/>
    <col min="3" max="3" width="13.5546875" style="1" bestFit="1" customWidth="1"/>
    <col min="4" max="4" width="8.44140625" style="1" customWidth="1"/>
    <col min="5" max="5" width="19.5546875" style="1" bestFit="1" customWidth="1"/>
    <col min="6" max="6" width="18.33203125" style="1" customWidth="1"/>
    <col min="7" max="7" width="24.44140625" style="1" customWidth="1"/>
    <col min="8" max="8" width="20.109375" style="1" customWidth="1"/>
    <col min="9" max="9" width="9.109375" style="1" customWidth="1"/>
    <col min="10" max="10" width="17.44140625" style="1" bestFit="1" customWidth="1"/>
    <col min="11" max="11" width="11.6640625" style="1" bestFit="1" customWidth="1"/>
    <col min="12" max="12" width="12.109375" style="1" bestFit="1" customWidth="1"/>
    <col min="13" max="13" width="27.6640625" style="1" customWidth="1"/>
    <col min="14" max="14" width="3.33203125" style="1" customWidth="1"/>
    <col min="15" max="15" width="15.6640625" style="1" bestFit="1" customWidth="1"/>
    <col min="16" max="16384" width="9.109375" style="1"/>
  </cols>
  <sheetData>
    <row r="2" spans="1:8" ht="28.8">
      <c r="A2" s="597"/>
      <c r="B2" s="597"/>
      <c r="C2" s="1513" t="s">
        <v>1968</v>
      </c>
      <c r="D2" s="1513"/>
      <c r="E2" s="1513"/>
      <c r="F2" s="1513"/>
      <c r="G2" s="1513"/>
      <c r="H2" s="1513"/>
    </row>
    <row r="3" spans="1:8" ht="25.8">
      <c r="A3" s="598"/>
      <c r="B3" s="598"/>
      <c r="C3" s="1537" t="s">
        <v>2148</v>
      </c>
      <c r="D3" s="1537"/>
      <c r="E3" s="1537"/>
      <c r="F3" s="1537"/>
      <c r="G3" s="1537"/>
      <c r="H3" s="1537"/>
    </row>
    <row r="4" spans="1:8" ht="21">
      <c r="A4" s="599"/>
      <c r="B4" s="599"/>
      <c r="C4" s="1535" t="s">
        <v>237</v>
      </c>
      <c r="D4" s="1536"/>
      <c r="E4" s="1536"/>
      <c r="F4" s="1536"/>
      <c r="G4" s="1536"/>
      <c r="H4" s="1536"/>
    </row>
    <row r="5" spans="1:8">
      <c r="A5" s="7"/>
      <c r="B5" s="7"/>
      <c r="C5" s="7"/>
      <c r="D5" s="7"/>
      <c r="E5" s="7"/>
      <c r="F5" s="7"/>
      <c r="G5" s="7"/>
      <c r="H5" s="7"/>
    </row>
    <row r="6" spans="1:8" ht="12.6" thickBot="1">
      <c r="A6" s="7"/>
      <c r="B6" s="7"/>
      <c r="C6" s="7"/>
      <c r="D6" s="7"/>
      <c r="E6" s="7"/>
      <c r="F6" s="7"/>
      <c r="G6" s="7"/>
      <c r="H6" s="7"/>
    </row>
    <row r="7" spans="1:8" ht="15.6">
      <c r="A7" s="1538" t="s">
        <v>3</v>
      </c>
      <c r="B7" s="1540" t="s">
        <v>4</v>
      </c>
      <c r="C7" s="1540" t="s">
        <v>5</v>
      </c>
      <c r="D7" s="1540" t="s">
        <v>6</v>
      </c>
      <c r="E7" s="1540" t="s">
        <v>7</v>
      </c>
      <c r="F7" s="8" t="s">
        <v>8</v>
      </c>
      <c r="G7" s="8" t="s">
        <v>9</v>
      </c>
      <c r="H7" s="9" t="s">
        <v>10</v>
      </c>
    </row>
    <row r="8" spans="1:8" ht="15.6">
      <c r="A8" s="1539"/>
      <c r="B8" s="1517"/>
      <c r="C8" s="1517"/>
      <c r="D8" s="1517"/>
      <c r="E8" s="1517"/>
      <c r="F8" s="10" t="s">
        <v>11</v>
      </c>
      <c r="G8" s="10" t="s">
        <v>11</v>
      </c>
      <c r="H8" s="11" t="s">
        <v>11</v>
      </c>
    </row>
    <row r="9" spans="1:8" ht="15.6">
      <c r="A9" s="12" t="s">
        <v>12</v>
      </c>
      <c r="B9" s="13" t="s">
        <v>19</v>
      </c>
      <c r="C9" s="1145"/>
      <c r="D9" s="15"/>
      <c r="E9" s="15"/>
      <c r="F9" s="19"/>
      <c r="G9" s="20"/>
      <c r="H9" s="18"/>
    </row>
    <row r="10" spans="1:8" ht="15.6">
      <c r="A10" s="12"/>
      <c r="B10" s="1142" t="s">
        <v>1966</v>
      </c>
      <c r="C10" s="1143">
        <v>1</v>
      </c>
      <c r="D10" s="764" t="s">
        <v>893</v>
      </c>
      <c r="E10" s="764" t="s">
        <v>421</v>
      </c>
      <c r="F10" s="1146">
        <f>2455000/2</f>
        <v>1227500</v>
      </c>
      <c r="G10" s="1146">
        <f>C10*F10</f>
        <v>1227500</v>
      </c>
      <c r="H10" s="18"/>
    </row>
    <row r="11" spans="1:8" ht="15.6">
      <c r="A11" s="12"/>
      <c r="B11" s="1142" t="s">
        <v>1081</v>
      </c>
      <c r="C11" s="1143"/>
      <c r="D11" s="764"/>
      <c r="E11" s="764"/>
      <c r="F11" s="1146"/>
      <c r="G11" s="1146"/>
      <c r="H11" s="18"/>
    </row>
    <row r="12" spans="1:8" ht="15.6">
      <c r="A12" s="12"/>
      <c r="B12" s="1142" t="s">
        <v>1082</v>
      </c>
      <c r="C12" s="1143"/>
      <c r="D12" s="764"/>
      <c r="E12" s="764"/>
      <c r="F12" s="1146"/>
      <c r="G12" s="1146"/>
      <c r="H12" s="18"/>
    </row>
    <row r="13" spans="1:8" ht="15.6">
      <c r="A13" s="12"/>
      <c r="B13" s="767"/>
      <c r="C13" s="1143"/>
      <c r="D13" s="764"/>
      <c r="E13" s="764"/>
      <c r="F13" s="1146"/>
      <c r="G13" s="1146"/>
      <c r="H13" s="18"/>
    </row>
    <row r="14" spans="1:8" ht="15.6">
      <c r="A14" s="12"/>
      <c r="B14" s="1142" t="s">
        <v>1967</v>
      </c>
      <c r="C14" s="1143">
        <v>1</v>
      </c>
      <c r="D14" s="764" t="s">
        <v>893</v>
      </c>
      <c r="E14" s="764" t="s">
        <v>421</v>
      </c>
      <c r="F14" s="1146">
        <v>1000000</v>
      </c>
      <c r="G14" s="1146">
        <f>C14*F14</f>
        <v>1000000</v>
      </c>
      <c r="H14" s="18"/>
    </row>
    <row r="15" spans="1:8" ht="15.6">
      <c r="A15" s="12"/>
      <c r="B15" s="1142" t="s">
        <v>1084</v>
      </c>
      <c r="C15" s="1143"/>
      <c r="D15" s="764"/>
      <c r="E15" s="764"/>
      <c r="F15" s="1146"/>
      <c r="G15" s="1146"/>
      <c r="H15" s="18"/>
    </row>
    <row r="16" spans="1:8" ht="15.6">
      <c r="A16" s="12"/>
      <c r="B16" s="1142" t="s">
        <v>1089</v>
      </c>
      <c r="C16" s="1143"/>
      <c r="D16" s="764"/>
      <c r="E16" s="764"/>
      <c r="F16" s="1146"/>
      <c r="G16" s="1146"/>
      <c r="H16" s="18"/>
    </row>
    <row r="17" spans="1:8" ht="15.6">
      <c r="A17" s="12"/>
      <c r="B17" s="1142" t="s">
        <v>1085</v>
      </c>
      <c r="C17" s="1143"/>
      <c r="D17" s="764"/>
      <c r="E17" s="764"/>
      <c r="F17" s="1146"/>
      <c r="G17" s="1146"/>
      <c r="H17" s="18"/>
    </row>
    <row r="18" spans="1:8" ht="15.6">
      <c r="A18" s="12"/>
      <c r="B18" s="1142"/>
      <c r="C18" s="1143"/>
      <c r="D18" s="764"/>
      <c r="E18" s="764"/>
      <c r="F18" s="1146"/>
      <c r="G18" s="1146"/>
      <c r="H18" s="18"/>
    </row>
    <row r="19" spans="1:8" ht="15.6">
      <c r="A19" s="12"/>
      <c r="B19" s="1142" t="s">
        <v>1990</v>
      </c>
      <c r="C19" s="1143">
        <v>1</v>
      </c>
      <c r="D19" s="764" t="s">
        <v>893</v>
      </c>
      <c r="E19" s="764" t="s">
        <v>51</v>
      </c>
      <c r="F19" s="1146">
        <v>200000</v>
      </c>
      <c r="G19" s="1146">
        <f>C19*F19</f>
        <v>200000</v>
      </c>
      <c r="H19" s="18"/>
    </row>
    <row r="20" spans="1:8" ht="15.6">
      <c r="A20" s="12"/>
      <c r="B20" s="1142"/>
      <c r="C20" s="1143"/>
      <c r="D20" s="764"/>
      <c r="E20" s="764"/>
      <c r="F20" s="1146"/>
      <c r="G20" s="1146"/>
      <c r="H20" s="18"/>
    </row>
    <row r="21" spans="1:8" ht="15.6">
      <c r="A21" s="12"/>
      <c r="B21" s="580"/>
      <c r="C21" s="1145"/>
      <c r="D21" s="15"/>
      <c r="E21" s="15"/>
      <c r="F21" s="19"/>
      <c r="G21" s="1146"/>
      <c r="H21" s="18"/>
    </row>
    <row r="22" spans="1:8" ht="15.6">
      <c r="A22" s="603"/>
      <c r="B22" s="612"/>
      <c r="C22" s="613"/>
      <c r="D22" s="615"/>
      <c r="E22" s="615"/>
      <c r="F22" s="631"/>
      <c r="G22" s="632"/>
      <c r="H22" s="18"/>
    </row>
    <row r="23" spans="1:8" ht="15.6">
      <c r="A23" s="619"/>
      <c r="B23" s="34"/>
      <c r="C23" s="621"/>
      <c r="D23" s="36"/>
      <c r="E23" s="36"/>
      <c r="F23" s="37" t="s">
        <v>25</v>
      </c>
      <c r="G23" s="20">
        <f>SUM(G10:G22)</f>
        <v>2427500</v>
      </c>
      <c r="H23" s="18"/>
    </row>
    <row r="24" spans="1:8" ht="15.6">
      <c r="A24" s="619"/>
      <c r="B24" s="34"/>
      <c r="C24" s="621"/>
      <c r="D24" s="36"/>
      <c r="E24" s="36"/>
      <c r="F24" s="630" t="s">
        <v>26</v>
      </c>
      <c r="G24" s="20"/>
      <c r="H24" s="18"/>
    </row>
    <row r="25" spans="1:8" ht="15.6">
      <c r="A25" s="625"/>
      <c r="B25" s="626"/>
      <c r="C25" s="627"/>
      <c r="D25" s="628"/>
      <c r="E25" s="628"/>
      <c r="F25" s="629"/>
      <c r="G25" s="612"/>
      <c r="H25" s="618">
        <f>SUM(G23:G24)</f>
        <v>2427500</v>
      </c>
    </row>
    <row r="26" spans="1:8" ht="16.2" thickBot="1">
      <c r="A26" s="619"/>
      <c r="B26" s="620"/>
      <c r="C26" s="621"/>
      <c r="D26" s="36"/>
      <c r="E26" s="36"/>
      <c r="F26" s="622"/>
      <c r="G26" s="623"/>
      <c r="H26" s="26"/>
    </row>
    <row r="27" spans="1:8" ht="15.6">
      <c r="A27" s="27"/>
      <c r="B27" s="28"/>
      <c r="C27" s="29"/>
      <c r="D27" s="30"/>
      <c r="E27" s="30"/>
      <c r="F27" s="30"/>
      <c r="G27" s="43" t="s">
        <v>28</v>
      </c>
      <c r="H27" s="32">
        <f>SUM(H9:H25)</f>
        <v>2427500</v>
      </c>
    </row>
    <row r="28" spans="1:8" ht="16.2" thickBot="1">
      <c r="A28" s="609"/>
      <c r="B28" s="606"/>
      <c r="C28" s="610"/>
      <c r="D28" s="610"/>
      <c r="E28" s="607"/>
      <c r="F28" s="608"/>
      <c r="G28" s="47" t="s">
        <v>30</v>
      </c>
      <c r="H28" s="48">
        <f>ROUND(H27,-3)</f>
        <v>2428000</v>
      </c>
    </row>
    <row r="29" spans="1:8" ht="15.6">
      <c r="A29" s="49"/>
      <c r="B29" s="49"/>
      <c r="C29" s="49"/>
      <c r="D29" s="49"/>
      <c r="E29" s="49"/>
      <c r="F29" s="49"/>
      <c r="G29" s="49"/>
      <c r="H29" s="50"/>
    </row>
    <row r="30" spans="1:8" ht="18">
      <c r="A30" s="633" t="s">
        <v>549</v>
      </c>
      <c r="B30" s="49"/>
      <c r="C30" s="49"/>
      <c r="D30" s="49"/>
      <c r="E30" s="49"/>
      <c r="F30" s="49"/>
      <c r="G30" s="49"/>
      <c r="H30" s="50"/>
    </row>
    <row r="31" spans="1:8" ht="18">
      <c r="A31" s="51"/>
      <c r="B31" s="957" t="s">
        <v>2150</v>
      </c>
      <c r="C31" s="51"/>
      <c r="D31" s="51"/>
      <c r="E31" s="51"/>
      <c r="F31" s="51"/>
      <c r="G31" s="604"/>
      <c r="H31" s="602"/>
    </row>
    <row r="32" spans="1:8" ht="18">
      <c r="A32" s="51"/>
      <c r="B32" s="51"/>
      <c r="C32" s="51"/>
      <c r="D32" s="51"/>
      <c r="E32" s="51"/>
      <c r="F32" s="51"/>
      <c r="G32" s="1530" t="s">
        <v>2149</v>
      </c>
      <c r="H32" s="1530"/>
    </row>
    <row r="33" spans="1:8" ht="18">
      <c r="A33" s="1530" t="s">
        <v>31</v>
      </c>
      <c r="B33" s="1530"/>
      <c r="C33" s="1530" t="s">
        <v>914</v>
      </c>
      <c r="D33" s="1530"/>
      <c r="E33" s="1530"/>
      <c r="F33" s="958"/>
      <c r="G33" s="1530" t="s">
        <v>33</v>
      </c>
      <c r="H33" s="1530"/>
    </row>
    <row r="34" spans="1:8" ht="18">
      <c r="A34" s="958"/>
      <c r="B34" s="958"/>
      <c r="C34" s="958"/>
      <c r="D34" s="958"/>
      <c r="E34" s="958"/>
      <c r="F34" s="958"/>
      <c r="G34" s="958"/>
      <c r="H34" s="958"/>
    </row>
    <row r="35" spans="1:8" ht="18">
      <c r="A35" s="958"/>
      <c r="B35" s="958"/>
      <c r="C35" s="958"/>
      <c r="D35" s="958"/>
      <c r="E35" s="958"/>
      <c r="F35" s="958"/>
      <c r="G35" s="958"/>
      <c r="H35" s="958"/>
    </row>
    <row r="36" spans="1:8" ht="18">
      <c r="A36" s="958"/>
      <c r="B36" s="958"/>
      <c r="C36" s="958"/>
      <c r="D36" s="958"/>
      <c r="E36" s="958"/>
      <c r="F36" s="958"/>
      <c r="G36" s="958"/>
      <c r="H36" s="958"/>
    </row>
    <row r="37" spans="1:8" ht="18">
      <c r="A37" s="1529" t="s">
        <v>1622</v>
      </c>
      <c r="B37" s="1529"/>
      <c r="C37" s="1529" t="s">
        <v>1603</v>
      </c>
      <c r="D37" s="1529"/>
      <c r="E37" s="1529"/>
      <c r="F37" s="958"/>
      <c r="G37" s="1529" t="s">
        <v>1778</v>
      </c>
      <c r="H37" s="1529"/>
    </row>
    <row r="38" spans="1:8" ht="18">
      <c r="A38" s="1530" t="s">
        <v>37</v>
      </c>
      <c r="B38" s="1530"/>
      <c r="C38" s="1530" t="s">
        <v>1867</v>
      </c>
      <c r="D38" s="1530"/>
      <c r="E38" s="1530"/>
      <c r="F38" s="958"/>
      <c r="G38" s="1530" t="s">
        <v>39</v>
      </c>
      <c r="H38" s="1530"/>
    </row>
    <row r="39" spans="1:8">
      <c r="A39" s="5"/>
      <c r="B39" s="5"/>
      <c r="C39" s="5"/>
      <c r="D39" s="5"/>
      <c r="E39" s="5"/>
      <c r="F39" s="6"/>
      <c r="G39" s="5"/>
      <c r="H39" s="5"/>
    </row>
    <row r="41" spans="1:8" ht="28.8">
      <c r="C41" s="1513" t="s">
        <v>1968</v>
      </c>
      <c r="D41" s="1513"/>
      <c r="E41" s="1513"/>
      <c r="F41" s="1513"/>
      <c r="G41" s="1513"/>
      <c r="H41" s="1513"/>
    </row>
    <row r="42" spans="1:8" ht="28.8">
      <c r="A42" s="597"/>
      <c r="B42" s="597"/>
      <c r="C42" s="1525" t="s">
        <v>2151</v>
      </c>
      <c r="D42" s="1525"/>
      <c r="E42" s="1525"/>
      <c r="F42" s="1525"/>
      <c r="G42" s="1525"/>
      <c r="H42" s="1525"/>
    </row>
    <row r="43" spans="1:8" ht="25.8">
      <c r="A43" s="830"/>
      <c r="B43" s="830"/>
      <c r="C43" s="1526" t="s">
        <v>1302</v>
      </c>
      <c r="D43" s="1526"/>
      <c r="E43" s="1526"/>
      <c r="F43" s="1526"/>
      <c r="G43" s="1526"/>
      <c r="H43" s="1526"/>
    </row>
    <row r="44" spans="1:8" ht="15.6">
      <c r="A44" s="769"/>
      <c r="B44" s="769"/>
      <c r="C44" s="769"/>
      <c r="D44" s="769"/>
      <c r="E44" s="769"/>
      <c r="F44" s="769"/>
      <c r="G44" s="769"/>
      <c r="H44" s="769"/>
    </row>
    <row r="45" spans="1:8" ht="15.6">
      <c r="A45" s="769"/>
      <c r="B45" s="769"/>
      <c r="C45" s="769"/>
      <c r="D45" s="769"/>
      <c r="E45" s="769"/>
      <c r="F45" s="769"/>
      <c r="G45" s="769"/>
      <c r="H45" s="769"/>
    </row>
    <row r="46" spans="1:8" ht="18">
      <c r="A46" s="1531" t="s">
        <v>3</v>
      </c>
      <c r="B46" s="1531" t="s">
        <v>4</v>
      </c>
      <c r="C46" s="1531" t="s">
        <v>5</v>
      </c>
      <c r="D46" s="1531" t="s">
        <v>6</v>
      </c>
      <c r="E46" s="1531" t="s">
        <v>7</v>
      </c>
      <c r="F46" s="1001" t="s">
        <v>8</v>
      </c>
      <c r="G46" s="1001" t="s">
        <v>9</v>
      </c>
      <c r="H46" s="1001" t="s">
        <v>10</v>
      </c>
    </row>
    <row r="47" spans="1:8" ht="18">
      <c r="A47" s="1532"/>
      <c r="B47" s="1532"/>
      <c r="C47" s="1532"/>
      <c r="D47" s="1532"/>
      <c r="E47" s="1532"/>
      <c r="F47" s="1002" t="s">
        <v>11</v>
      </c>
      <c r="G47" s="1002" t="s">
        <v>11</v>
      </c>
      <c r="H47" s="1002" t="s">
        <v>11</v>
      </c>
    </row>
    <row r="48" spans="1:8" ht="18">
      <c r="A48" s="1008" t="s">
        <v>12</v>
      </c>
      <c r="B48" s="1019" t="s">
        <v>13</v>
      </c>
      <c r="C48" s="1020"/>
      <c r="D48" s="1011"/>
      <c r="E48" s="1011"/>
      <c r="F48" s="1136"/>
      <c r="G48" s="1136"/>
      <c r="H48" s="1137"/>
    </row>
    <row r="49" spans="1:8" ht="18">
      <c r="A49" s="1023">
        <v>1</v>
      </c>
      <c r="B49" s="1021" t="s">
        <v>2152</v>
      </c>
      <c r="C49" s="1020">
        <v>1</v>
      </c>
      <c r="D49" s="1011" t="s">
        <v>44</v>
      </c>
      <c r="E49" s="1011" t="s">
        <v>2137</v>
      </c>
      <c r="F49" s="1136">
        <f>BreakDown!I881</f>
        <v>1233916.8700000001</v>
      </c>
      <c r="G49" s="1136">
        <f>F49*C49</f>
        <v>1233916.8700000001</v>
      </c>
      <c r="H49" s="1137"/>
    </row>
    <row r="50" spans="1:8" ht="18">
      <c r="A50" s="1023">
        <v>2</v>
      </c>
      <c r="B50" s="1021" t="s">
        <v>2134</v>
      </c>
      <c r="C50" s="1020">
        <v>16</v>
      </c>
      <c r="D50" s="1011" t="s">
        <v>44</v>
      </c>
      <c r="E50" s="1011" t="s">
        <v>82</v>
      </c>
      <c r="F50" s="1533" t="s">
        <v>2138</v>
      </c>
      <c r="G50" s="1534"/>
      <c r="H50" s="1137"/>
    </row>
    <row r="51" spans="1:8" ht="18">
      <c r="A51" s="1023">
        <v>3</v>
      </c>
      <c r="B51" s="1021" t="s">
        <v>2135</v>
      </c>
      <c r="C51" s="1020">
        <v>0.5</v>
      </c>
      <c r="D51" s="1011" t="s">
        <v>245</v>
      </c>
      <c r="E51" s="1011" t="s">
        <v>82</v>
      </c>
      <c r="F51" s="1533" t="s">
        <v>2138</v>
      </c>
      <c r="G51" s="1534"/>
      <c r="H51" s="1137"/>
    </row>
    <row r="52" spans="1:8" ht="18">
      <c r="A52" s="1023"/>
      <c r="B52" s="1021"/>
      <c r="C52" s="1020"/>
      <c r="D52" s="1011"/>
      <c r="E52" s="1011"/>
      <c r="F52" s="1136"/>
      <c r="G52" s="1136"/>
      <c r="H52" s="1137"/>
    </row>
    <row r="53" spans="1:8" ht="18">
      <c r="A53" s="1008" t="s">
        <v>18</v>
      </c>
      <c r="B53" s="1019" t="s">
        <v>19</v>
      </c>
      <c r="C53" s="1020"/>
      <c r="D53" s="1011"/>
      <c r="E53" s="1011"/>
      <c r="F53" s="1136"/>
      <c r="G53" s="1136"/>
      <c r="H53" s="1348"/>
    </row>
    <row r="54" spans="1:8" ht="18">
      <c r="A54" s="1023">
        <v>1</v>
      </c>
      <c r="B54" s="1021" t="s">
        <v>2116</v>
      </c>
      <c r="C54" s="1010">
        <v>1</v>
      </c>
      <c r="D54" s="1011" t="s">
        <v>2003</v>
      </c>
      <c r="E54" s="1011" t="s">
        <v>82</v>
      </c>
      <c r="F54" s="1022">
        <v>135000</v>
      </c>
      <c r="G54" s="1022">
        <f>F54*C54</f>
        <v>135000</v>
      </c>
      <c r="H54" s="1348"/>
    </row>
    <row r="55" spans="1:8" ht="18">
      <c r="A55" s="1023">
        <v>2</v>
      </c>
      <c r="B55" s="1021" t="s">
        <v>2117</v>
      </c>
      <c r="C55" s="1010">
        <v>2</v>
      </c>
      <c r="D55" s="1011" t="s">
        <v>2003</v>
      </c>
      <c r="E55" s="1011" t="s">
        <v>82</v>
      </c>
      <c r="F55" s="1022">
        <v>90000</v>
      </c>
      <c r="G55" s="1022">
        <f>F55*C55</f>
        <v>180000</v>
      </c>
      <c r="H55" s="1348"/>
    </row>
    <row r="56" spans="1:8" ht="18">
      <c r="A56" s="1283">
        <v>3</v>
      </c>
      <c r="B56" s="1250" t="s">
        <v>2092</v>
      </c>
      <c r="C56" s="1010">
        <v>2</v>
      </c>
      <c r="D56" s="1235" t="s">
        <v>138</v>
      </c>
      <c r="E56" s="1229" t="s">
        <v>16</v>
      </c>
      <c r="F56" s="1251">
        <v>55000</v>
      </c>
      <c r="G56" s="1251">
        <f>F56*C56</f>
        <v>110000</v>
      </c>
      <c r="H56" s="1348"/>
    </row>
    <row r="57" spans="1:8" ht="18">
      <c r="A57" s="1023"/>
      <c r="B57" s="1024"/>
      <c r="C57" s="1022"/>
      <c r="D57" s="1011"/>
      <c r="E57" s="1011"/>
      <c r="F57" s="1022"/>
      <c r="G57" s="1022"/>
      <c r="H57" s="1056"/>
    </row>
    <row r="58" spans="1:8" ht="18">
      <c r="A58" s="1025"/>
      <c r="B58" s="1026"/>
      <c r="C58" s="1027"/>
      <c r="D58" s="1028"/>
      <c r="E58" s="1029"/>
      <c r="F58" s="1029" t="s">
        <v>25</v>
      </c>
      <c r="G58" s="1030"/>
      <c r="H58" s="1018">
        <f>G49+G54+G55+G56</f>
        <v>1658916.87</v>
      </c>
    </row>
    <row r="59" spans="1:8" ht="18">
      <c r="A59" s="1031"/>
      <c r="B59" s="1032"/>
      <c r="C59" s="1033"/>
      <c r="D59" s="1033"/>
      <c r="E59" s="1034"/>
      <c r="F59" s="1035" t="s">
        <v>1151</v>
      </c>
      <c r="G59" s="1036"/>
      <c r="H59" s="1037"/>
    </row>
    <row r="60" spans="1:8" ht="18">
      <c r="A60" s="1038"/>
      <c r="B60" s="1039"/>
      <c r="C60" s="1040"/>
      <c r="D60" s="1040"/>
      <c r="E60" s="1041"/>
      <c r="F60" s="1042"/>
      <c r="G60" s="1043"/>
      <c r="H60" s="1044">
        <f>G58+G59</f>
        <v>0</v>
      </c>
    </row>
    <row r="61" spans="1:8" ht="18">
      <c r="A61" s="1047"/>
      <c r="B61" s="1048"/>
      <c r="C61" s="1048"/>
      <c r="D61" s="1048"/>
      <c r="E61" s="1048"/>
      <c r="F61" s="1049"/>
      <c r="G61" s="1050" t="s">
        <v>28</v>
      </c>
      <c r="H61" s="1006">
        <f>H58</f>
        <v>1658916.87</v>
      </c>
    </row>
    <row r="62" spans="1:8" ht="18">
      <c r="A62" s="1051"/>
      <c r="B62" s="1052"/>
      <c r="C62" s="1053"/>
      <c r="D62" s="1053"/>
      <c r="E62" s="1053"/>
      <c r="F62" s="1054"/>
      <c r="G62" s="1055" t="s">
        <v>30</v>
      </c>
      <c r="H62" s="1056">
        <v>1583000</v>
      </c>
    </row>
    <row r="63" spans="1:8" ht="18">
      <c r="A63" s="1138"/>
      <c r="B63" s="1138"/>
      <c r="C63" s="1138"/>
      <c r="D63" s="1138"/>
      <c r="E63" s="1138"/>
      <c r="F63" s="1138"/>
      <c r="G63" s="1138"/>
      <c r="H63" s="1139"/>
    </row>
    <row r="64" spans="1:8" ht="18">
      <c r="A64" s="768" t="s">
        <v>1150</v>
      </c>
      <c r="B64" s="1138"/>
      <c r="C64" s="1138"/>
      <c r="D64" s="1138"/>
      <c r="E64" s="1138"/>
      <c r="F64" s="1138"/>
      <c r="G64" s="1138"/>
      <c r="H64" s="1139"/>
    </row>
    <row r="65" spans="1:8" ht="18">
      <c r="A65" s="1138"/>
      <c r="B65" s="965" t="s">
        <v>2170</v>
      </c>
      <c r="C65" s="1138"/>
      <c r="D65" s="1138"/>
      <c r="E65" s="1138"/>
      <c r="F65" s="1138"/>
      <c r="G65" s="1138"/>
      <c r="H65" s="1139"/>
    </row>
    <row r="66" spans="1:8" ht="18">
      <c r="A66" s="1138"/>
      <c r="B66" s="1138"/>
      <c r="C66" s="1138"/>
      <c r="D66" s="1138"/>
      <c r="E66" s="1138"/>
      <c r="F66" s="1138"/>
      <c r="G66" s="1138"/>
      <c r="H66" s="1139"/>
    </row>
    <row r="67" spans="1:8" ht="18">
      <c r="A67" s="958"/>
      <c r="B67" s="958"/>
      <c r="C67" s="958"/>
      <c r="D67" s="958"/>
      <c r="E67" s="958"/>
      <c r="F67" s="958"/>
      <c r="G67" s="1530" t="s">
        <v>2128</v>
      </c>
      <c r="H67" s="1530"/>
    </row>
    <row r="68" spans="1:8" ht="18">
      <c r="A68" s="1530" t="s">
        <v>31</v>
      </c>
      <c r="B68" s="1530"/>
      <c r="C68" s="1530" t="s">
        <v>32</v>
      </c>
      <c r="D68" s="1530"/>
      <c r="E68" s="1530"/>
      <c r="F68" s="958"/>
      <c r="G68" s="1530" t="s">
        <v>33</v>
      </c>
      <c r="H68" s="1530"/>
    </row>
    <row r="69" spans="1:8" ht="18">
      <c r="A69" s="958"/>
      <c r="B69" s="958"/>
      <c r="C69" s="958"/>
      <c r="D69" s="958"/>
      <c r="E69" s="958"/>
      <c r="F69" s="958"/>
      <c r="G69" s="958"/>
      <c r="H69" s="958"/>
    </row>
    <row r="70" spans="1:8" ht="18">
      <c r="A70" s="958"/>
      <c r="B70" s="958"/>
      <c r="C70" s="958"/>
      <c r="D70" s="958"/>
      <c r="E70" s="958"/>
      <c r="F70" s="958"/>
      <c r="G70" s="958"/>
      <c r="H70" s="958"/>
    </row>
    <row r="71" spans="1:8" ht="18">
      <c r="A71" s="958"/>
      <c r="B71" s="958"/>
      <c r="C71" s="958"/>
      <c r="D71" s="958"/>
      <c r="E71" s="958"/>
      <c r="F71" s="958"/>
      <c r="G71" s="958"/>
      <c r="H71" s="958"/>
    </row>
    <row r="72" spans="1:8" ht="18">
      <c r="A72" s="1529" t="s">
        <v>1622</v>
      </c>
      <c r="B72" s="1529"/>
      <c r="C72" s="1529" t="s">
        <v>1603</v>
      </c>
      <c r="D72" s="1529"/>
      <c r="E72" s="1529"/>
      <c r="F72" s="958"/>
      <c r="G72" s="1529" t="s">
        <v>1778</v>
      </c>
      <c r="H72" s="1529"/>
    </row>
    <row r="73" spans="1:8" ht="18">
      <c r="A73" s="1530" t="s">
        <v>37</v>
      </c>
      <c r="B73" s="1530"/>
      <c r="C73" s="1530" t="s">
        <v>1604</v>
      </c>
      <c r="D73" s="1530"/>
      <c r="E73" s="1530"/>
      <c r="F73" s="958"/>
      <c r="G73" s="1530" t="s">
        <v>39</v>
      </c>
      <c r="H73" s="1530"/>
    </row>
    <row r="81" spans="1:8" ht="33.6">
      <c r="A81" s="597"/>
      <c r="B81" s="597"/>
      <c r="C81" s="1524" t="s">
        <v>235</v>
      </c>
      <c r="D81" s="1524"/>
      <c r="E81" s="1524"/>
      <c r="F81" s="1524"/>
      <c r="G81" s="1524"/>
      <c r="H81" s="1524"/>
    </row>
    <row r="82" spans="1:8" ht="28.8">
      <c r="A82" s="597"/>
      <c r="B82" s="597"/>
      <c r="C82" s="1525" t="s">
        <v>2133</v>
      </c>
      <c r="D82" s="1525"/>
      <c r="E82" s="1525"/>
      <c r="F82" s="1525"/>
      <c r="G82" s="1525"/>
      <c r="H82" s="1525"/>
    </row>
    <row r="83" spans="1:8" ht="25.8">
      <c r="A83" s="830"/>
      <c r="B83" s="830"/>
      <c r="C83" s="1526" t="s">
        <v>1302</v>
      </c>
      <c r="D83" s="1526"/>
      <c r="E83" s="1526"/>
      <c r="F83" s="1526"/>
      <c r="G83" s="1526"/>
      <c r="H83" s="1526"/>
    </row>
    <row r="84" spans="1:8" ht="15.6">
      <c r="A84" s="769"/>
      <c r="B84" s="769"/>
      <c r="C84" s="769"/>
      <c r="D84" s="769"/>
      <c r="E84" s="769"/>
      <c r="F84" s="769"/>
      <c r="G84" s="769"/>
      <c r="H84" s="769"/>
    </row>
    <row r="85" spans="1:8" ht="15.6">
      <c r="A85" s="769"/>
      <c r="B85" s="769"/>
      <c r="C85" s="769"/>
      <c r="D85" s="769"/>
      <c r="E85" s="769"/>
      <c r="F85" s="769"/>
      <c r="G85" s="769"/>
      <c r="H85" s="769"/>
    </row>
    <row r="86" spans="1:8" ht="18">
      <c r="A86" s="1531" t="s">
        <v>3</v>
      </c>
      <c r="B86" s="1531" t="s">
        <v>4</v>
      </c>
      <c r="C86" s="1531" t="s">
        <v>5</v>
      </c>
      <c r="D86" s="1531" t="s">
        <v>6</v>
      </c>
      <c r="E86" s="1531" t="s">
        <v>7</v>
      </c>
      <c r="F86" s="1001" t="s">
        <v>8</v>
      </c>
      <c r="G86" s="1001" t="s">
        <v>9</v>
      </c>
      <c r="H86" s="1001" t="s">
        <v>10</v>
      </c>
    </row>
    <row r="87" spans="1:8" ht="18">
      <c r="A87" s="1532"/>
      <c r="B87" s="1532"/>
      <c r="C87" s="1532"/>
      <c r="D87" s="1532"/>
      <c r="E87" s="1532"/>
      <c r="F87" s="1002" t="s">
        <v>11</v>
      </c>
      <c r="G87" s="1002" t="s">
        <v>11</v>
      </c>
      <c r="H87" s="1002" t="s">
        <v>11</v>
      </c>
    </row>
    <row r="88" spans="1:8" ht="18">
      <c r="A88" s="1008" t="s">
        <v>12</v>
      </c>
      <c r="B88" s="1019" t="s">
        <v>13</v>
      </c>
      <c r="C88" s="1020"/>
      <c r="D88" s="1011"/>
      <c r="E88" s="1011"/>
      <c r="F88" s="1136"/>
      <c r="G88" s="1136"/>
      <c r="H88" s="1137"/>
    </row>
    <row r="89" spans="1:8" ht="18">
      <c r="A89" s="1023">
        <v>1</v>
      </c>
      <c r="B89" s="1021" t="s">
        <v>2136</v>
      </c>
      <c r="C89" s="1020">
        <v>1</v>
      </c>
      <c r="D89" s="1011" t="s">
        <v>44</v>
      </c>
      <c r="E89" s="1229" t="s">
        <v>16</v>
      </c>
      <c r="F89" s="1136">
        <f>BreakDown!I855</f>
        <v>2505000</v>
      </c>
      <c r="G89" s="1136">
        <f>F89*C89</f>
        <v>2505000</v>
      </c>
      <c r="H89" s="1137"/>
    </row>
    <row r="90" spans="1:8" ht="18">
      <c r="A90" s="1023">
        <v>2</v>
      </c>
      <c r="B90" s="1021" t="s">
        <v>2134</v>
      </c>
      <c r="C90" s="1020">
        <v>16</v>
      </c>
      <c r="D90" s="1011" t="s">
        <v>44</v>
      </c>
      <c r="E90" s="1011" t="s">
        <v>82</v>
      </c>
      <c r="F90" s="1533" t="s">
        <v>2138</v>
      </c>
      <c r="G90" s="1534"/>
      <c r="H90" s="1137"/>
    </row>
    <row r="91" spans="1:8" ht="18">
      <c r="A91" s="1023">
        <v>3</v>
      </c>
      <c r="B91" s="1021" t="s">
        <v>2135</v>
      </c>
      <c r="C91" s="1020">
        <v>0.5</v>
      </c>
      <c r="D91" s="1011" t="s">
        <v>245</v>
      </c>
      <c r="E91" s="1011" t="s">
        <v>82</v>
      </c>
      <c r="F91" s="1533" t="s">
        <v>2138</v>
      </c>
      <c r="G91" s="1534"/>
      <c r="H91" s="1137"/>
    </row>
    <row r="92" spans="1:8" ht="18">
      <c r="A92" s="1023"/>
      <c r="B92" s="1021"/>
      <c r="C92" s="1020"/>
      <c r="D92" s="1011"/>
      <c r="E92" s="1011"/>
      <c r="F92" s="1136"/>
      <c r="G92" s="1136"/>
      <c r="H92" s="1137"/>
    </row>
    <row r="93" spans="1:8" ht="18">
      <c r="A93" s="1008" t="s">
        <v>18</v>
      </c>
      <c r="B93" s="1019" t="s">
        <v>19</v>
      </c>
      <c r="C93" s="1020"/>
      <c r="D93" s="1011"/>
      <c r="E93" s="1011"/>
      <c r="F93" s="1136"/>
      <c r="G93" s="1136"/>
      <c r="H93" s="1348"/>
    </row>
    <row r="94" spans="1:8" ht="18">
      <c r="A94" s="1023">
        <v>1</v>
      </c>
      <c r="B94" s="1021" t="s">
        <v>2116</v>
      </c>
      <c r="C94" s="1010">
        <v>1</v>
      </c>
      <c r="D94" s="1011" t="s">
        <v>2003</v>
      </c>
      <c r="E94" s="1011" t="s">
        <v>82</v>
      </c>
      <c r="F94" s="1022">
        <v>135000</v>
      </c>
      <c r="G94" s="1022">
        <f>F94*C94</f>
        <v>135000</v>
      </c>
      <c r="H94" s="1348"/>
    </row>
    <row r="95" spans="1:8" ht="18">
      <c r="A95" s="1023">
        <v>2</v>
      </c>
      <c r="B95" s="1021" t="s">
        <v>2117</v>
      </c>
      <c r="C95" s="1010">
        <v>2</v>
      </c>
      <c r="D95" s="1011" t="s">
        <v>2003</v>
      </c>
      <c r="E95" s="1011" t="s">
        <v>82</v>
      </c>
      <c r="F95" s="1022">
        <v>90000</v>
      </c>
      <c r="G95" s="1022">
        <f>F95*C95</f>
        <v>180000</v>
      </c>
      <c r="H95" s="1348"/>
    </row>
    <row r="96" spans="1:8" ht="18">
      <c r="A96" s="1283">
        <v>3</v>
      </c>
      <c r="B96" s="1250" t="s">
        <v>2092</v>
      </c>
      <c r="C96" s="1010">
        <v>1</v>
      </c>
      <c r="D96" s="1235" t="s">
        <v>138</v>
      </c>
      <c r="E96" s="1229" t="s">
        <v>16</v>
      </c>
      <c r="F96" s="1251">
        <v>55000</v>
      </c>
      <c r="G96" s="1251">
        <f>F96*C96</f>
        <v>55000</v>
      </c>
      <c r="H96" s="1348"/>
    </row>
    <row r="97" spans="1:8" ht="18">
      <c r="A97" s="1023"/>
      <c r="B97" s="1024"/>
      <c r="C97" s="1022"/>
      <c r="D97" s="1011"/>
      <c r="E97" s="1011"/>
      <c r="F97" s="1022"/>
      <c r="G97" s="1022"/>
      <c r="H97" s="1056"/>
    </row>
    <row r="98" spans="1:8" ht="18">
      <c r="A98" s="1025"/>
      <c r="B98" s="1026"/>
      <c r="C98" s="1027"/>
      <c r="D98" s="1028"/>
      <c r="E98" s="1029"/>
      <c r="F98" s="1029" t="s">
        <v>25</v>
      </c>
      <c r="G98" s="1030"/>
      <c r="H98" s="1018">
        <f>G89+G94+G95+G96</f>
        <v>2875000</v>
      </c>
    </row>
    <row r="99" spans="1:8" ht="18">
      <c r="A99" s="1031"/>
      <c r="B99" s="1032"/>
      <c r="C99" s="1033"/>
      <c r="D99" s="1033"/>
      <c r="E99" s="1034"/>
      <c r="F99" s="1035" t="s">
        <v>1151</v>
      </c>
      <c r="G99" s="1036"/>
      <c r="H99" s="1037"/>
    </row>
    <row r="100" spans="1:8" ht="18">
      <c r="A100" s="1038"/>
      <c r="B100" s="1039"/>
      <c r="C100" s="1040"/>
      <c r="D100" s="1040"/>
      <c r="E100" s="1041"/>
      <c r="F100" s="1042"/>
      <c r="G100" s="1043"/>
      <c r="H100" s="1044">
        <f>G98+G99</f>
        <v>0</v>
      </c>
    </row>
    <row r="101" spans="1:8" ht="18">
      <c r="A101" s="1047"/>
      <c r="B101" s="1048"/>
      <c r="C101" s="1048"/>
      <c r="D101" s="1048"/>
      <c r="E101" s="1048"/>
      <c r="F101" s="1049"/>
      <c r="G101" s="1050" t="s">
        <v>28</v>
      </c>
      <c r="H101" s="1006">
        <f>H98</f>
        <v>2875000</v>
      </c>
    </row>
    <row r="102" spans="1:8" ht="18">
      <c r="A102" s="1051"/>
      <c r="B102" s="1052"/>
      <c r="C102" s="1053"/>
      <c r="D102" s="1053"/>
      <c r="E102" s="1053"/>
      <c r="F102" s="1054"/>
      <c r="G102" s="1055" t="s">
        <v>30</v>
      </c>
      <c r="H102" s="1056">
        <f>ROUND(H101,-3)</f>
        <v>2875000</v>
      </c>
    </row>
    <row r="103" spans="1:8" ht="18">
      <c r="A103" s="1138"/>
      <c r="B103" s="1138"/>
      <c r="C103" s="1138"/>
      <c r="D103" s="1138"/>
      <c r="E103" s="1138"/>
      <c r="F103" s="1138"/>
      <c r="G103" s="1138"/>
      <c r="H103" s="1139"/>
    </row>
    <row r="104" spans="1:8" ht="18">
      <c r="A104" s="768" t="s">
        <v>1150</v>
      </c>
      <c r="B104" s="1138"/>
      <c r="C104" s="1138"/>
      <c r="D104" s="1138"/>
      <c r="E104" s="1138"/>
      <c r="F104" s="1138"/>
      <c r="G104" s="1138"/>
      <c r="H104" s="1139"/>
    </row>
    <row r="105" spans="1:8" ht="18">
      <c r="A105" s="1138"/>
      <c r="B105" s="965" t="s">
        <v>2165</v>
      </c>
      <c r="C105" s="1138"/>
      <c r="D105" s="1138"/>
      <c r="E105" s="1138"/>
      <c r="F105" s="1138"/>
      <c r="G105" s="1138"/>
      <c r="H105" s="1139"/>
    </row>
    <row r="106" spans="1:8" ht="18">
      <c r="A106" s="1138"/>
      <c r="B106" s="1138"/>
      <c r="C106" s="1138"/>
      <c r="D106" s="1138"/>
      <c r="E106" s="1138"/>
      <c r="F106" s="1138"/>
      <c r="G106" s="1138"/>
      <c r="H106" s="1139"/>
    </row>
    <row r="107" spans="1:8" ht="18">
      <c r="A107" s="958"/>
      <c r="B107" s="958"/>
      <c r="C107" s="958"/>
      <c r="D107" s="958"/>
      <c r="E107" s="958"/>
      <c r="F107" s="958"/>
      <c r="G107" s="1530" t="s">
        <v>2164</v>
      </c>
      <c r="H107" s="1530"/>
    </row>
    <row r="108" spans="1:8" ht="18">
      <c r="A108" s="1530" t="s">
        <v>31</v>
      </c>
      <c r="B108" s="1530"/>
      <c r="C108" s="1530" t="s">
        <v>32</v>
      </c>
      <c r="D108" s="1530"/>
      <c r="E108" s="1530"/>
      <c r="F108" s="958"/>
      <c r="G108" s="1530" t="s">
        <v>33</v>
      </c>
      <c r="H108" s="1530"/>
    </row>
    <row r="109" spans="1:8" ht="18">
      <c r="A109" s="958"/>
      <c r="B109" s="958"/>
      <c r="C109" s="958"/>
      <c r="D109" s="958"/>
      <c r="E109" s="958"/>
      <c r="F109" s="958"/>
      <c r="G109" s="958"/>
      <c r="H109" s="958"/>
    </row>
    <row r="110" spans="1:8" ht="18">
      <c r="A110" s="958"/>
      <c r="B110" s="958"/>
      <c r="C110" s="958"/>
      <c r="D110" s="958"/>
      <c r="E110" s="958"/>
      <c r="F110" s="958"/>
      <c r="G110" s="958"/>
      <c r="H110" s="958"/>
    </row>
    <row r="111" spans="1:8" ht="18">
      <c r="A111" s="958"/>
      <c r="B111" s="958"/>
      <c r="C111" s="958"/>
      <c r="D111" s="958"/>
      <c r="E111" s="958"/>
      <c r="F111" s="958"/>
      <c r="G111" s="958"/>
      <c r="H111" s="958"/>
    </row>
    <row r="112" spans="1:8" ht="18">
      <c r="A112" s="1529" t="s">
        <v>1622</v>
      </c>
      <c r="B112" s="1529"/>
      <c r="C112" s="1529" t="s">
        <v>1603</v>
      </c>
      <c r="D112" s="1529"/>
      <c r="E112" s="1529"/>
      <c r="F112" s="958"/>
      <c r="G112" s="1529" t="s">
        <v>1778</v>
      </c>
      <c r="H112" s="1529"/>
    </row>
    <row r="113" spans="1:8" ht="18">
      <c r="A113" s="1530" t="s">
        <v>37</v>
      </c>
      <c r="B113" s="1530"/>
      <c r="C113" s="1530" t="s">
        <v>1604</v>
      </c>
      <c r="D113" s="1530"/>
      <c r="E113" s="1530"/>
      <c r="F113" s="958"/>
      <c r="G113" s="1530" t="s">
        <v>39</v>
      </c>
      <c r="H113" s="1530"/>
    </row>
    <row r="118" spans="1:8" ht="33.6">
      <c r="A118" s="597"/>
      <c r="B118" s="597"/>
      <c r="C118" s="1524" t="s">
        <v>235</v>
      </c>
      <c r="D118" s="1524"/>
      <c r="E118" s="1524"/>
      <c r="F118" s="1524"/>
      <c r="G118" s="1524"/>
      <c r="H118" s="1524"/>
    </row>
    <row r="119" spans="1:8" ht="28.8">
      <c r="A119" s="597"/>
      <c r="B119" s="597"/>
      <c r="C119" s="1525" t="s">
        <v>2130</v>
      </c>
      <c r="D119" s="1525"/>
      <c r="E119" s="1525"/>
      <c r="F119" s="1525"/>
      <c r="G119" s="1525"/>
      <c r="H119" s="1525"/>
    </row>
    <row r="120" spans="1:8" ht="25.8">
      <c r="A120" s="830"/>
      <c r="B120" s="830"/>
      <c r="C120" s="1526" t="s">
        <v>1594</v>
      </c>
      <c r="D120" s="1526"/>
      <c r="E120" s="1526"/>
      <c r="F120" s="1526"/>
      <c r="G120" s="1526"/>
      <c r="H120" s="1526"/>
    </row>
    <row r="121" spans="1:8" ht="15.6">
      <c r="A121" s="769"/>
      <c r="B121" s="769"/>
      <c r="C121" s="769"/>
      <c r="D121" s="769"/>
      <c r="E121" s="769"/>
      <c r="F121" s="769"/>
      <c r="G121" s="769"/>
      <c r="H121" s="769"/>
    </row>
    <row r="122" spans="1:8" ht="15.6">
      <c r="A122" s="769"/>
      <c r="B122" s="769"/>
      <c r="C122" s="769"/>
      <c r="D122" s="769"/>
      <c r="E122" s="769"/>
      <c r="F122" s="769"/>
      <c r="G122" s="769"/>
      <c r="H122" s="769"/>
    </row>
    <row r="123" spans="1:8" ht="18">
      <c r="A123" s="1531" t="s">
        <v>3</v>
      </c>
      <c r="B123" s="1531" t="s">
        <v>4</v>
      </c>
      <c r="C123" s="1531" t="s">
        <v>5</v>
      </c>
      <c r="D123" s="1531" t="s">
        <v>6</v>
      </c>
      <c r="E123" s="1531" t="s">
        <v>7</v>
      </c>
      <c r="F123" s="1001" t="s">
        <v>8</v>
      </c>
      <c r="G123" s="1001" t="s">
        <v>9</v>
      </c>
      <c r="H123" s="1001" t="s">
        <v>10</v>
      </c>
    </row>
    <row r="124" spans="1:8" ht="18">
      <c r="A124" s="1532"/>
      <c r="B124" s="1532"/>
      <c r="C124" s="1532"/>
      <c r="D124" s="1532"/>
      <c r="E124" s="1532"/>
      <c r="F124" s="1002" t="s">
        <v>11</v>
      </c>
      <c r="G124" s="1002" t="s">
        <v>11</v>
      </c>
      <c r="H124" s="1002" t="s">
        <v>11</v>
      </c>
    </row>
    <row r="125" spans="1:8" ht="18">
      <c r="A125" s="1008" t="s">
        <v>12</v>
      </c>
      <c r="B125" s="1019" t="s">
        <v>19</v>
      </c>
      <c r="C125" s="1020"/>
      <c r="D125" s="1011"/>
      <c r="E125" s="1011"/>
      <c r="F125" s="1136"/>
      <c r="G125" s="1136"/>
      <c r="H125" s="1137"/>
    </row>
    <row r="126" spans="1:8" ht="18">
      <c r="A126" s="1023">
        <v>1</v>
      </c>
      <c r="B126" s="1021" t="s">
        <v>2131</v>
      </c>
      <c r="C126" s="1010">
        <v>1</v>
      </c>
      <c r="D126" s="1011" t="s">
        <v>69</v>
      </c>
      <c r="E126" s="1011" t="s">
        <v>51</v>
      </c>
      <c r="F126" s="1022">
        <v>2500000</v>
      </c>
      <c r="G126" s="1022">
        <f>F126*C126</f>
        <v>2500000</v>
      </c>
      <c r="H126" s="1007"/>
    </row>
    <row r="127" spans="1:8" ht="18">
      <c r="A127" s="1023"/>
      <c r="B127" s="1024"/>
      <c r="C127" s="1022"/>
      <c r="D127" s="1011"/>
      <c r="E127" s="1011"/>
      <c r="F127" s="1022"/>
      <c r="G127" s="1022"/>
      <c r="H127" s="1056">
        <f>SUM(G126:G126)</f>
        <v>2500000</v>
      </c>
    </row>
    <row r="128" spans="1:8" ht="18">
      <c r="A128" s="1025"/>
      <c r="B128" s="1026"/>
      <c r="C128" s="1027"/>
      <c r="D128" s="1028"/>
      <c r="E128" s="1029"/>
      <c r="F128" s="1029" t="s">
        <v>25</v>
      </c>
      <c r="G128" s="1030"/>
      <c r="H128" s="1018">
        <f>H127</f>
        <v>2500000</v>
      </c>
    </row>
    <row r="129" spans="1:8" ht="18">
      <c r="A129" s="1031"/>
      <c r="B129" s="1032"/>
      <c r="C129" s="1033"/>
      <c r="D129" s="1033"/>
      <c r="E129" s="1034"/>
      <c r="F129" s="1035" t="s">
        <v>1151</v>
      </c>
      <c r="G129" s="1036"/>
      <c r="H129" s="1037"/>
    </row>
    <row r="130" spans="1:8" ht="18">
      <c r="A130" s="1038"/>
      <c r="B130" s="1039"/>
      <c r="C130" s="1040"/>
      <c r="D130" s="1040"/>
      <c r="E130" s="1041"/>
      <c r="F130" s="1042"/>
      <c r="G130" s="1043"/>
      <c r="H130" s="1044">
        <f>G128+G129</f>
        <v>0</v>
      </c>
    </row>
    <row r="131" spans="1:8" ht="18">
      <c r="A131" s="1047"/>
      <c r="B131" s="1048"/>
      <c r="C131" s="1048"/>
      <c r="D131" s="1048"/>
      <c r="E131" s="1048"/>
      <c r="F131" s="1049"/>
      <c r="G131" s="1050" t="s">
        <v>28</v>
      </c>
      <c r="H131" s="1006">
        <f>H128</f>
        <v>2500000</v>
      </c>
    </row>
    <row r="132" spans="1:8" ht="18">
      <c r="A132" s="1051"/>
      <c r="B132" s="1052"/>
      <c r="C132" s="1053"/>
      <c r="D132" s="1053"/>
      <c r="E132" s="1053"/>
      <c r="F132" s="1054"/>
      <c r="G132" s="1055" t="s">
        <v>30</v>
      </c>
      <c r="H132" s="1056">
        <f>ROUND(H131,-3)</f>
        <v>2500000</v>
      </c>
    </row>
    <row r="133" spans="1:8" ht="18">
      <c r="A133" s="1138"/>
      <c r="B133" s="1138"/>
      <c r="C133" s="1138"/>
      <c r="D133" s="1138"/>
      <c r="E133" s="1138"/>
      <c r="F133" s="1138"/>
      <c r="G133" s="1138"/>
      <c r="H133" s="1139"/>
    </row>
    <row r="134" spans="1:8" ht="18">
      <c r="A134" s="768" t="s">
        <v>1150</v>
      </c>
      <c r="B134" s="1138"/>
      <c r="C134" s="1138"/>
      <c r="D134" s="1138"/>
      <c r="E134" s="1138"/>
      <c r="F134" s="1138"/>
      <c r="G134" s="1138"/>
      <c r="H134" s="1139"/>
    </row>
    <row r="135" spans="1:8" ht="18">
      <c r="A135" s="1138"/>
      <c r="B135" s="965" t="s">
        <v>2132</v>
      </c>
      <c r="C135" s="1138"/>
      <c r="D135" s="1138"/>
      <c r="E135" s="1138"/>
      <c r="F135" s="1138"/>
      <c r="G135" s="1138"/>
      <c r="H135" s="1139"/>
    </row>
    <row r="136" spans="1:8" ht="18">
      <c r="A136" s="1138"/>
      <c r="B136" s="1138"/>
      <c r="C136" s="1138"/>
      <c r="D136" s="1138"/>
      <c r="E136" s="1138"/>
      <c r="F136" s="1138"/>
      <c r="G136" s="1138"/>
      <c r="H136" s="1139"/>
    </row>
    <row r="137" spans="1:8" ht="18">
      <c r="A137" s="958"/>
      <c r="B137" s="958"/>
      <c r="C137" s="958"/>
      <c r="D137" s="958"/>
      <c r="E137" s="958"/>
      <c r="F137" s="958"/>
      <c r="G137" s="1530" t="s">
        <v>2128</v>
      </c>
      <c r="H137" s="1530"/>
    </row>
    <row r="138" spans="1:8" ht="18">
      <c r="A138" s="1530" t="s">
        <v>31</v>
      </c>
      <c r="B138" s="1530"/>
      <c r="C138" s="1530" t="s">
        <v>32</v>
      </c>
      <c r="D138" s="1530"/>
      <c r="E138" s="1530"/>
      <c r="F138" s="958"/>
      <c r="G138" s="1530" t="s">
        <v>33</v>
      </c>
      <c r="H138" s="1530"/>
    </row>
    <row r="139" spans="1:8" ht="18">
      <c r="A139" s="958"/>
      <c r="B139" s="958"/>
      <c r="C139" s="958"/>
      <c r="D139" s="958"/>
      <c r="E139" s="958"/>
      <c r="F139" s="958"/>
      <c r="G139" s="958"/>
      <c r="H139" s="958"/>
    </row>
    <row r="140" spans="1:8" ht="18">
      <c r="A140" s="958"/>
      <c r="B140" s="958"/>
      <c r="C140" s="958"/>
      <c r="D140" s="958"/>
      <c r="E140" s="958"/>
      <c r="F140" s="958"/>
      <c r="G140" s="958"/>
      <c r="H140" s="958"/>
    </row>
    <row r="141" spans="1:8" ht="18">
      <c r="A141" s="958"/>
      <c r="B141" s="958"/>
      <c r="C141" s="958"/>
      <c r="D141" s="958"/>
      <c r="E141" s="958"/>
      <c r="F141" s="958"/>
      <c r="G141" s="958"/>
      <c r="H141" s="958"/>
    </row>
    <row r="142" spans="1:8" ht="18">
      <c r="A142" s="1529" t="s">
        <v>1622</v>
      </c>
      <c r="B142" s="1529"/>
      <c r="C142" s="1529" t="s">
        <v>1603</v>
      </c>
      <c r="D142" s="1529"/>
      <c r="E142" s="1529"/>
      <c r="F142" s="958"/>
      <c r="G142" s="1529" t="s">
        <v>1778</v>
      </c>
      <c r="H142" s="1529"/>
    </row>
    <row r="143" spans="1:8" ht="18">
      <c r="A143" s="1530" t="s">
        <v>37</v>
      </c>
      <c r="B143" s="1530"/>
      <c r="C143" s="1530" t="s">
        <v>1604</v>
      </c>
      <c r="D143" s="1530"/>
      <c r="E143" s="1530"/>
      <c r="F143" s="958"/>
      <c r="G143" s="1530" t="s">
        <v>39</v>
      </c>
      <c r="H143" s="1530"/>
    </row>
    <row r="148" spans="1:8" ht="33.6">
      <c r="A148" s="597"/>
      <c r="B148" s="597"/>
      <c r="C148" s="1524" t="s">
        <v>235</v>
      </c>
      <c r="D148" s="1524"/>
      <c r="E148" s="1524"/>
      <c r="F148" s="1524"/>
      <c r="G148" s="1524"/>
      <c r="H148" s="1524"/>
    </row>
    <row r="149" spans="1:8" ht="28.8">
      <c r="A149" s="597"/>
      <c r="B149" s="597"/>
      <c r="C149" s="1525" t="s">
        <v>2124</v>
      </c>
      <c r="D149" s="1525"/>
      <c r="E149" s="1525"/>
      <c r="F149" s="1525"/>
      <c r="G149" s="1525"/>
      <c r="H149" s="1525"/>
    </row>
    <row r="150" spans="1:8" ht="25.8">
      <c r="A150" s="830"/>
      <c r="B150" s="830"/>
      <c r="C150" s="1526" t="s">
        <v>1078</v>
      </c>
      <c r="D150" s="1526"/>
      <c r="E150" s="1526"/>
      <c r="F150" s="1526"/>
      <c r="G150" s="1526"/>
      <c r="H150" s="1526"/>
    </row>
    <row r="151" spans="1:8" ht="15.6">
      <c r="A151" s="769"/>
      <c r="B151" s="769"/>
      <c r="C151" s="769"/>
      <c r="D151" s="769"/>
      <c r="E151" s="769"/>
      <c r="F151" s="769"/>
      <c r="G151" s="769"/>
      <c r="H151" s="769"/>
    </row>
    <row r="152" spans="1:8" ht="15.6">
      <c r="A152" s="769"/>
      <c r="B152" s="769"/>
      <c r="C152" s="769"/>
      <c r="D152" s="769"/>
      <c r="E152" s="769"/>
      <c r="F152" s="769"/>
      <c r="G152" s="769"/>
      <c r="H152" s="769"/>
    </row>
    <row r="153" spans="1:8" ht="18">
      <c r="A153" s="1531" t="s">
        <v>3</v>
      </c>
      <c r="B153" s="1531" t="s">
        <v>4</v>
      </c>
      <c r="C153" s="1531" t="s">
        <v>5</v>
      </c>
      <c r="D153" s="1531" t="s">
        <v>6</v>
      </c>
      <c r="E153" s="1531" t="s">
        <v>7</v>
      </c>
      <c r="F153" s="1001" t="s">
        <v>8</v>
      </c>
      <c r="G153" s="1001" t="s">
        <v>9</v>
      </c>
      <c r="H153" s="1001" t="s">
        <v>10</v>
      </c>
    </row>
    <row r="154" spans="1:8" ht="18">
      <c r="A154" s="1532"/>
      <c r="B154" s="1532"/>
      <c r="C154" s="1532"/>
      <c r="D154" s="1532"/>
      <c r="E154" s="1532"/>
      <c r="F154" s="1002" t="s">
        <v>11</v>
      </c>
      <c r="G154" s="1002" t="s">
        <v>11</v>
      </c>
      <c r="H154" s="1002" t="s">
        <v>11</v>
      </c>
    </row>
    <row r="155" spans="1:8" ht="18">
      <c r="A155" s="1001" t="s">
        <v>12</v>
      </c>
      <c r="B155" s="1003" t="s">
        <v>364</v>
      </c>
      <c r="C155" s="1004"/>
      <c r="D155" s="1005"/>
      <c r="E155" s="1005"/>
      <c r="F155" s="1005"/>
      <c r="G155" s="1006"/>
      <c r="H155" s="1057"/>
    </row>
    <row r="156" spans="1:8" ht="18">
      <c r="A156" s="1011">
        <v>1</v>
      </c>
      <c r="B156" s="1021" t="s">
        <v>2125</v>
      </c>
      <c r="C156" s="1010">
        <v>4</v>
      </c>
      <c r="D156" s="1011" t="s">
        <v>132</v>
      </c>
      <c r="E156" s="1011" t="s">
        <v>16</v>
      </c>
      <c r="F156" s="1012">
        <v>650000</v>
      </c>
      <c r="G156" s="1012">
        <f>F156*C156</f>
        <v>2600000</v>
      </c>
      <c r="H156" s="1058"/>
    </row>
    <row r="157" spans="1:8" ht="18">
      <c r="A157" s="1011">
        <v>2</v>
      </c>
      <c r="B157" s="1021" t="s">
        <v>2155</v>
      </c>
      <c r="C157" s="1010">
        <v>20</v>
      </c>
      <c r="D157" s="1011" t="s">
        <v>1665</v>
      </c>
      <c r="E157" s="1011" t="s">
        <v>16</v>
      </c>
      <c r="F157" s="1012">
        <v>15000</v>
      </c>
      <c r="G157" s="1012">
        <f>F157*C157</f>
        <v>300000</v>
      </c>
      <c r="H157" s="1058"/>
    </row>
    <row r="158" spans="1:8" ht="18">
      <c r="A158" s="1011">
        <v>3</v>
      </c>
      <c r="B158" s="1021" t="s">
        <v>2171</v>
      </c>
      <c r="C158" s="1010">
        <v>1</v>
      </c>
      <c r="D158" s="1011" t="s">
        <v>15</v>
      </c>
      <c r="E158" s="1011" t="s">
        <v>16</v>
      </c>
      <c r="F158" s="1012">
        <v>55000</v>
      </c>
      <c r="G158" s="1012">
        <f>F158*C158</f>
        <v>55000</v>
      </c>
      <c r="H158" s="1058"/>
    </row>
    <row r="159" spans="1:8" ht="18">
      <c r="A159" s="1011">
        <v>4</v>
      </c>
      <c r="B159" s="1021" t="s">
        <v>2126</v>
      </c>
      <c r="C159" s="1010">
        <v>7</v>
      </c>
      <c r="D159" s="1011" t="s">
        <v>132</v>
      </c>
      <c r="E159" s="1011" t="s">
        <v>16</v>
      </c>
      <c r="F159" s="1012">
        <v>65000</v>
      </c>
      <c r="G159" s="1012">
        <f>F159*C159</f>
        <v>455000</v>
      </c>
      <c r="H159" s="1058"/>
    </row>
    <row r="160" spans="1:8" ht="18">
      <c r="A160" s="1013"/>
      <c r="B160" s="1014"/>
      <c r="C160" s="1015"/>
      <c r="D160" s="1016"/>
      <c r="E160" s="1016"/>
      <c r="F160" s="1017"/>
      <c r="G160" s="1017"/>
      <c r="H160" s="1135">
        <f>SUM(G155:G160)</f>
        <v>3410000</v>
      </c>
    </row>
    <row r="161" spans="1:8" ht="18">
      <c r="A161" s="1008" t="s">
        <v>18</v>
      </c>
      <c r="B161" s="1019" t="s">
        <v>19</v>
      </c>
      <c r="C161" s="1020"/>
      <c r="D161" s="1011"/>
      <c r="E161" s="1011"/>
      <c r="F161" s="1136"/>
      <c r="G161" s="1136"/>
      <c r="H161" s="1137"/>
    </row>
    <row r="162" spans="1:8" ht="18">
      <c r="A162" s="1023">
        <v>1</v>
      </c>
      <c r="B162" s="1021" t="s">
        <v>2127</v>
      </c>
      <c r="C162" s="1010">
        <v>1</v>
      </c>
      <c r="D162" s="1011" t="s">
        <v>69</v>
      </c>
      <c r="E162" s="1011" t="s">
        <v>16</v>
      </c>
      <c r="F162" s="1022">
        <v>750000</v>
      </c>
      <c r="G162" s="1022">
        <f>F162*C162</f>
        <v>750000</v>
      </c>
      <c r="H162" s="1007"/>
    </row>
    <row r="163" spans="1:8" ht="18">
      <c r="A163" s="1023"/>
      <c r="B163" s="1024"/>
      <c r="C163" s="1022"/>
      <c r="D163" s="1011"/>
      <c r="E163" s="1011"/>
      <c r="F163" s="1022"/>
      <c r="G163" s="1022"/>
      <c r="H163" s="1056">
        <f>SUM(G162:G162)</f>
        <v>750000</v>
      </c>
    </row>
    <row r="164" spans="1:8" ht="18">
      <c r="A164" s="1025"/>
      <c r="B164" s="1026"/>
      <c r="C164" s="1027"/>
      <c r="D164" s="1028"/>
      <c r="E164" s="1029"/>
      <c r="F164" s="1029" t="s">
        <v>25</v>
      </c>
      <c r="G164" s="1030"/>
      <c r="H164" s="1018">
        <f>H163+H160</f>
        <v>4160000</v>
      </c>
    </row>
    <row r="165" spans="1:8" ht="18">
      <c r="A165" s="1031"/>
      <c r="B165" s="1032"/>
      <c r="C165" s="1033"/>
      <c r="D165" s="1033"/>
      <c r="E165" s="1034"/>
      <c r="F165" s="1035" t="s">
        <v>1151</v>
      </c>
      <c r="G165" s="1036"/>
      <c r="H165" s="1037"/>
    </row>
    <row r="166" spans="1:8" ht="18">
      <c r="A166" s="1038"/>
      <c r="B166" s="1039"/>
      <c r="C166" s="1040"/>
      <c r="D166" s="1040"/>
      <c r="E166" s="1041"/>
      <c r="F166" s="1042"/>
      <c r="G166" s="1043"/>
      <c r="H166" s="1044">
        <f>G164+G165</f>
        <v>0</v>
      </c>
    </row>
    <row r="167" spans="1:8" ht="18">
      <c r="A167" s="1047"/>
      <c r="B167" s="1048"/>
      <c r="C167" s="1048"/>
      <c r="D167" s="1048"/>
      <c r="E167" s="1048"/>
      <c r="F167" s="1049"/>
      <c r="G167" s="1050" t="s">
        <v>28</v>
      </c>
      <c r="H167" s="1006">
        <f>H164</f>
        <v>4160000</v>
      </c>
    </row>
    <row r="168" spans="1:8" ht="18">
      <c r="A168" s="1051"/>
      <c r="B168" s="1052"/>
      <c r="C168" s="1053"/>
      <c r="D168" s="1053"/>
      <c r="E168" s="1053"/>
      <c r="F168" s="1054"/>
      <c r="G168" s="1055" t="s">
        <v>30</v>
      </c>
      <c r="H168" s="1056">
        <f>ROUND(H167,-3)</f>
        <v>4160000</v>
      </c>
    </row>
    <row r="169" spans="1:8" ht="18">
      <c r="A169" s="1138"/>
      <c r="B169" s="1138"/>
      <c r="C169" s="1138"/>
      <c r="D169" s="1138"/>
      <c r="E169" s="1138"/>
      <c r="F169" s="1138"/>
      <c r="G169" s="1138"/>
      <c r="H169" s="1139"/>
    </row>
    <row r="170" spans="1:8" ht="18">
      <c r="A170" s="768" t="s">
        <v>1150</v>
      </c>
      <c r="B170" s="1138"/>
      <c r="C170" s="1138"/>
      <c r="D170" s="1138"/>
      <c r="E170" s="1138"/>
      <c r="F170" s="1138"/>
      <c r="G170" s="1138"/>
      <c r="H170" s="1139"/>
    </row>
    <row r="171" spans="1:8" ht="18">
      <c r="A171" s="1138"/>
      <c r="B171" s="965" t="s">
        <v>2156</v>
      </c>
      <c r="C171" s="1138"/>
      <c r="D171" s="1138"/>
      <c r="E171" s="1138"/>
      <c r="F171" s="1138"/>
      <c r="G171" s="1138"/>
      <c r="H171" s="1139"/>
    </row>
    <row r="172" spans="1:8" ht="18">
      <c r="A172" s="1138"/>
      <c r="B172" s="1138"/>
      <c r="C172" s="1138"/>
      <c r="D172" s="1138"/>
      <c r="E172" s="1138"/>
      <c r="F172" s="1138"/>
      <c r="G172" s="1138"/>
      <c r="H172" s="1139"/>
    </row>
    <row r="173" spans="1:8" ht="18">
      <c r="A173" s="958"/>
      <c r="B173" s="958"/>
      <c r="C173" s="958"/>
      <c r="D173" s="958"/>
      <c r="E173" s="958"/>
      <c r="F173" s="958"/>
      <c r="G173" s="1530" t="s">
        <v>2128</v>
      </c>
      <c r="H173" s="1530"/>
    </row>
    <row r="174" spans="1:8" ht="18">
      <c r="A174" s="1530" t="s">
        <v>31</v>
      </c>
      <c r="B174" s="1530"/>
      <c r="C174" s="1530" t="s">
        <v>32</v>
      </c>
      <c r="D174" s="1530"/>
      <c r="E174" s="1530"/>
      <c r="F174" s="958"/>
      <c r="G174" s="1530" t="s">
        <v>33</v>
      </c>
      <c r="H174" s="1530"/>
    </row>
    <row r="175" spans="1:8" ht="18">
      <c r="A175" s="958"/>
      <c r="B175" s="958"/>
      <c r="C175" s="958"/>
      <c r="D175" s="958"/>
      <c r="E175" s="958"/>
      <c r="F175" s="958"/>
      <c r="G175" s="958"/>
      <c r="H175" s="958"/>
    </row>
    <row r="176" spans="1:8" ht="18">
      <c r="A176" s="958"/>
      <c r="B176" s="958"/>
      <c r="C176" s="958"/>
      <c r="D176" s="958"/>
      <c r="E176" s="958"/>
      <c r="F176" s="958"/>
      <c r="G176" s="958"/>
      <c r="H176" s="958"/>
    </row>
    <row r="177" spans="1:8" ht="18">
      <c r="A177" s="958"/>
      <c r="B177" s="958"/>
      <c r="C177" s="958"/>
      <c r="D177" s="958"/>
      <c r="E177" s="958"/>
      <c r="F177" s="958"/>
      <c r="G177" s="958"/>
      <c r="H177" s="958"/>
    </row>
    <row r="178" spans="1:8" ht="18">
      <c r="A178" s="1529" t="s">
        <v>1622</v>
      </c>
      <c r="B178" s="1529"/>
      <c r="C178" s="1529" t="s">
        <v>1603</v>
      </c>
      <c r="D178" s="1529"/>
      <c r="E178" s="1529"/>
      <c r="F178" s="958"/>
      <c r="G178" s="1529" t="s">
        <v>1778</v>
      </c>
      <c r="H178" s="1529"/>
    </row>
    <row r="179" spans="1:8" ht="18">
      <c r="A179" s="1530" t="s">
        <v>37</v>
      </c>
      <c r="B179" s="1530"/>
      <c r="C179" s="1530" t="s">
        <v>1604</v>
      </c>
      <c r="D179" s="1530"/>
      <c r="E179" s="1530"/>
      <c r="F179" s="958"/>
      <c r="G179" s="1530" t="s">
        <v>39</v>
      </c>
      <c r="H179" s="1530"/>
    </row>
    <row r="183" spans="1:8" ht="33.6">
      <c r="A183" s="597"/>
      <c r="B183" s="597"/>
      <c r="C183" s="1524" t="s">
        <v>235</v>
      </c>
      <c r="D183" s="1524"/>
      <c r="E183" s="1524"/>
      <c r="F183" s="1524"/>
      <c r="G183" s="1524"/>
      <c r="H183" s="1524"/>
    </row>
    <row r="184" spans="1:8" ht="28.8">
      <c r="A184" s="597"/>
      <c r="B184" s="597"/>
      <c r="C184" s="1525" t="s">
        <v>2120</v>
      </c>
      <c r="D184" s="1525"/>
      <c r="E184" s="1525"/>
      <c r="F184" s="1525"/>
      <c r="G184" s="1525"/>
      <c r="H184" s="1525"/>
    </row>
    <row r="185" spans="1:8" ht="25.8">
      <c r="A185" s="830"/>
      <c r="B185" s="830"/>
      <c r="C185" s="1526" t="s">
        <v>286</v>
      </c>
      <c r="D185" s="1526"/>
      <c r="E185" s="1526"/>
      <c r="F185" s="1526"/>
      <c r="G185" s="1526"/>
      <c r="H185" s="1526"/>
    </row>
    <row r="186" spans="1:8" ht="15.6">
      <c r="A186" s="769"/>
      <c r="B186" s="769"/>
      <c r="C186" s="769"/>
      <c r="D186" s="769"/>
      <c r="E186" s="769"/>
      <c r="F186" s="769"/>
      <c r="G186" s="769"/>
      <c r="H186" s="769"/>
    </row>
    <row r="187" spans="1:8" ht="15.6">
      <c r="A187" s="769"/>
      <c r="B187" s="769"/>
      <c r="C187" s="769"/>
      <c r="D187" s="769"/>
      <c r="E187" s="769"/>
      <c r="F187" s="769"/>
      <c r="G187" s="769"/>
      <c r="H187" s="769"/>
    </row>
    <row r="188" spans="1:8" ht="18">
      <c r="A188" s="1531" t="s">
        <v>3</v>
      </c>
      <c r="B188" s="1531" t="s">
        <v>4</v>
      </c>
      <c r="C188" s="1531" t="s">
        <v>5</v>
      </c>
      <c r="D188" s="1531" t="s">
        <v>6</v>
      </c>
      <c r="E188" s="1531" t="s">
        <v>7</v>
      </c>
      <c r="F188" s="1001" t="s">
        <v>8</v>
      </c>
      <c r="G188" s="1001" t="s">
        <v>9</v>
      </c>
      <c r="H188" s="1001" t="s">
        <v>10</v>
      </c>
    </row>
    <row r="189" spans="1:8" ht="18">
      <c r="A189" s="1532"/>
      <c r="B189" s="1532"/>
      <c r="C189" s="1532"/>
      <c r="D189" s="1532"/>
      <c r="E189" s="1532"/>
      <c r="F189" s="1002" t="s">
        <v>11</v>
      </c>
      <c r="G189" s="1002" t="s">
        <v>11</v>
      </c>
      <c r="H189" s="1002" t="s">
        <v>11</v>
      </c>
    </row>
    <row r="190" spans="1:8" ht="18">
      <c r="A190" s="1001" t="s">
        <v>12</v>
      </c>
      <c r="B190" s="1003" t="s">
        <v>364</v>
      </c>
      <c r="C190" s="1004"/>
      <c r="D190" s="1005"/>
      <c r="E190" s="1005"/>
      <c r="F190" s="1005"/>
      <c r="G190" s="1006"/>
      <c r="H190" s="1057"/>
    </row>
    <row r="191" spans="1:8" ht="18">
      <c r="A191" s="1008"/>
      <c r="B191" s="1009" t="s">
        <v>2121</v>
      </c>
      <c r="C191" s="1010">
        <v>1</v>
      </c>
      <c r="D191" s="1011" t="s">
        <v>15</v>
      </c>
      <c r="E191" s="1011" t="s">
        <v>197</v>
      </c>
      <c r="F191" s="1012" t="s">
        <v>126</v>
      </c>
      <c r="G191" s="1012" t="s">
        <v>126</v>
      </c>
      <c r="H191" s="1058"/>
    </row>
    <row r="192" spans="1:8" ht="18">
      <c r="A192" s="1008"/>
      <c r="B192" s="1009" t="s">
        <v>1583</v>
      </c>
      <c r="C192" s="1010">
        <v>0.5</v>
      </c>
      <c r="D192" s="1011" t="s">
        <v>245</v>
      </c>
      <c r="E192" s="1011" t="s">
        <v>197</v>
      </c>
      <c r="F192" s="1012" t="s">
        <v>126</v>
      </c>
      <c r="G192" s="1012" t="s">
        <v>126</v>
      </c>
      <c r="H192" s="1058"/>
    </row>
    <row r="193" spans="1:8" ht="18">
      <c r="A193" s="1013"/>
      <c r="B193" s="1014"/>
      <c r="C193" s="1015"/>
      <c r="D193" s="1016"/>
      <c r="E193" s="1016"/>
      <c r="F193" s="1017"/>
      <c r="G193" s="1017"/>
      <c r="H193" s="1135">
        <f>SUM(G190:G193)</f>
        <v>0</v>
      </c>
    </row>
    <row r="194" spans="1:8" ht="18">
      <c r="A194" s="1008" t="s">
        <v>18</v>
      </c>
      <c r="B194" s="1019" t="s">
        <v>19</v>
      </c>
      <c r="C194" s="1020"/>
      <c r="D194" s="1011"/>
      <c r="E194" s="1011"/>
      <c r="F194" s="1136"/>
      <c r="G194" s="1136"/>
      <c r="H194" s="1137"/>
    </row>
    <row r="195" spans="1:8" ht="18">
      <c r="A195" s="1023"/>
      <c r="B195" s="1009" t="s">
        <v>2122</v>
      </c>
      <c r="C195" s="1010">
        <v>1</v>
      </c>
      <c r="D195" s="1011" t="s">
        <v>2003</v>
      </c>
      <c r="E195" s="1011" t="s">
        <v>51</v>
      </c>
      <c r="F195" s="1022">
        <v>135000</v>
      </c>
      <c r="G195" s="1022">
        <f>F195*C195</f>
        <v>135000</v>
      </c>
      <c r="H195" s="1007"/>
    </row>
    <row r="196" spans="1:8" ht="18">
      <c r="A196" s="1023"/>
      <c r="B196" s="1009" t="s">
        <v>2123</v>
      </c>
      <c r="C196" s="1010">
        <v>1</v>
      </c>
      <c r="D196" s="1011" t="s">
        <v>2003</v>
      </c>
      <c r="E196" s="1011" t="s">
        <v>51</v>
      </c>
      <c r="F196" s="1022">
        <v>90000</v>
      </c>
      <c r="G196" s="1022">
        <f>F196*C196</f>
        <v>90000</v>
      </c>
      <c r="H196" s="1007"/>
    </row>
    <row r="197" spans="1:8" ht="18">
      <c r="A197" s="1023"/>
      <c r="B197" s="1024"/>
      <c r="C197" s="1022"/>
      <c r="D197" s="1011"/>
      <c r="E197" s="1011"/>
      <c r="F197" s="1022"/>
      <c r="G197" s="1022"/>
      <c r="H197" s="1056">
        <f>SUM(G195:G196)</f>
        <v>225000</v>
      </c>
    </row>
    <row r="198" spans="1:8" ht="18">
      <c r="A198" s="1025"/>
      <c r="B198" s="1026"/>
      <c r="C198" s="1027"/>
      <c r="D198" s="1028"/>
      <c r="E198" s="1029"/>
      <c r="F198" s="1029" t="s">
        <v>25</v>
      </c>
      <c r="G198" s="1030"/>
      <c r="H198" s="1018">
        <f>H197</f>
        <v>225000</v>
      </c>
    </row>
    <row r="199" spans="1:8" ht="18">
      <c r="A199" s="1031"/>
      <c r="B199" s="1032"/>
      <c r="C199" s="1033"/>
      <c r="D199" s="1033"/>
      <c r="E199" s="1034"/>
      <c r="F199" s="1035" t="s">
        <v>1151</v>
      </c>
      <c r="G199" s="1036"/>
      <c r="H199" s="1037"/>
    </row>
    <row r="200" spans="1:8" ht="18">
      <c r="A200" s="1038"/>
      <c r="B200" s="1039"/>
      <c r="C200" s="1040"/>
      <c r="D200" s="1040"/>
      <c r="E200" s="1041"/>
      <c r="F200" s="1042"/>
      <c r="G200" s="1043"/>
      <c r="H200" s="1044">
        <f>G198+G199</f>
        <v>0</v>
      </c>
    </row>
    <row r="201" spans="1:8" ht="18">
      <c r="A201" s="1047"/>
      <c r="B201" s="1048"/>
      <c r="C201" s="1048"/>
      <c r="D201" s="1048"/>
      <c r="E201" s="1048"/>
      <c r="F201" s="1049"/>
      <c r="G201" s="1050" t="s">
        <v>28</v>
      </c>
      <c r="H201" s="1006">
        <f>H198</f>
        <v>225000</v>
      </c>
    </row>
    <row r="202" spans="1:8" ht="18">
      <c r="A202" s="1051"/>
      <c r="B202" s="1052"/>
      <c r="C202" s="1053"/>
      <c r="D202" s="1053"/>
      <c r="E202" s="1053"/>
      <c r="F202" s="1054"/>
      <c r="G202" s="1055" t="s">
        <v>30</v>
      </c>
      <c r="H202" s="1056">
        <f>ROUND(H201,-3)</f>
        <v>225000</v>
      </c>
    </row>
    <row r="203" spans="1:8" ht="18">
      <c r="A203" s="1138"/>
      <c r="B203" s="1138"/>
      <c r="C203" s="1138"/>
      <c r="D203" s="1138"/>
      <c r="E203" s="1138"/>
      <c r="F203" s="1138"/>
      <c r="G203" s="1138"/>
      <c r="H203" s="1139"/>
    </row>
    <row r="204" spans="1:8" ht="18">
      <c r="A204" s="768" t="s">
        <v>1150</v>
      </c>
      <c r="B204" s="1138"/>
      <c r="C204" s="1138"/>
      <c r="D204" s="1138"/>
      <c r="E204" s="1138"/>
      <c r="F204" s="1138"/>
      <c r="G204" s="1138"/>
      <c r="H204" s="1139"/>
    </row>
    <row r="205" spans="1:8" ht="18">
      <c r="A205" s="1138"/>
      <c r="B205" s="965" t="s">
        <v>2143</v>
      </c>
      <c r="C205" s="1138"/>
      <c r="D205" s="1138"/>
      <c r="E205" s="1138"/>
      <c r="F205" s="1138"/>
      <c r="G205" s="1138"/>
      <c r="H205" s="1139"/>
    </row>
    <row r="206" spans="1:8" ht="18">
      <c r="A206" s="1138"/>
      <c r="B206" s="1138"/>
      <c r="C206" s="1138"/>
      <c r="D206" s="1138"/>
      <c r="E206" s="1138"/>
      <c r="F206" s="1138"/>
      <c r="G206" s="1138"/>
      <c r="H206" s="1139"/>
    </row>
    <row r="207" spans="1:8" ht="18">
      <c r="A207" s="958"/>
      <c r="B207" s="958"/>
      <c r="C207" s="958"/>
      <c r="D207" s="958"/>
      <c r="E207" s="958"/>
      <c r="F207" s="958"/>
      <c r="G207" s="1530" t="s">
        <v>2128</v>
      </c>
      <c r="H207" s="1530"/>
    </row>
    <row r="208" spans="1:8" ht="18">
      <c r="A208" s="1530" t="s">
        <v>31</v>
      </c>
      <c r="B208" s="1530"/>
      <c r="C208" s="1530" t="s">
        <v>32</v>
      </c>
      <c r="D208" s="1530"/>
      <c r="E208" s="1530"/>
      <c r="F208" s="958"/>
      <c r="G208" s="1530" t="s">
        <v>33</v>
      </c>
      <c r="H208" s="1530"/>
    </row>
    <row r="209" spans="1:8" ht="18">
      <c r="A209" s="958"/>
      <c r="B209" s="958"/>
      <c r="C209" s="958"/>
      <c r="D209" s="958"/>
      <c r="E209" s="958"/>
      <c r="F209" s="958"/>
      <c r="G209" s="958"/>
      <c r="H209" s="958"/>
    </row>
    <row r="210" spans="1:8" ht="18">
      <c r="A210" s="958"/>
      <c r="B210" s="958"/>
      <c r="C210" s="958"/>
      <c r="D210" s="958"/>
      <c r="E210" s="958"/>
      <c r="F210" s="958"/>
      <c r="G210" s="958"/>
      <c r="H210" s="958"/>
    </row>
    <row r="211" spans="1:8" ht="18">
      <c r="A211" s="958"/>
      <c r="B211" s="958"/>
      <c r="C211" s="958"/>
      <c r="D211" s="958"/>
      <c r="E211" s="958"/>
      <c r="F211" s="958"/>
      <c r="G211" s="958"/>
      <c r="H211" s="958"/>
    </row>
    <row r="212" spans="1:8" ht="18">
      <c r="A212" s="1529" t="s">
        <v>1622</v>
      </c>
      <c r="B212" s="1529"/>
      <c r="C212" s="1529" t="s">
        <v>1603</v>
      </c>
      <c r="D212" s="1529"/>
      <c r="E212" s="1529"/>
      <c r="F212" s="958"/>
      <c r="G212" s="1529" t="s">
        <v>1778</v>
      </c>
      <c r="H212" s="1529"/>
    </row>
    <row r="213" spans="1:8" ht="18">
      <c r="A213" s="1530" t="s">
        <v>37</v>
      </c>
      <c r="B213" s="1530"/>
      <c r="C213" s="1530" t="s">
        <v>1604</v>
      </c>
      <c r="D213" s="1530"/>
      <c r="E213" s="1530"/>
      <c r="F213" s="958"/>
      <c r="G213" s="1530" t="s">
        <v>39</v>
      </c>
      <c r="H213" s="1530"/>
    </row>
    <row r="216" spans="1:8" ht="28.8">
      <c r="A216" s="597"/>
      <c r="B216" s="597"/>
      <c r="C216" s="1513" t="s">
        <v>1667</v>
      </c>
      <c r="D216" s="1513"/>
      <c r="E216" s="1513"/>
      <c r="F216" s="1513"/>
      <c r="G216" s="1513"/>
      <c r="H216" s="1513"/>
    </row>
    <row r="217" spans="1:8" ht="28.8">
      <c r="A217" s="597"/>
      <c r="B217" s="597"/>
      <c r="C217" s="1541" t="s">
        <v>1668</v>
      </c>
      <c r="D217" s="1541"/>
      <c r="E217" s="1541"/>
      <c r="F217" s="1541"/>
      <c r="G217" s="1541"/>
      <c r="H217" s="1541"/>
    </row>
    <row r="218" spans="1:8" ht="23.4">
      <c r="A218" s="830"/>
      <c r="B218" s="830"/>
      <c r="C218" s="1541" t="s">
        <v>1399</v>
      </c>
      <c r="D218" s="1541"/>
      <c r="E218" s="1541"/>
      <c r="F218" s="1541"/>
      <c r="G218" s="1541"/>
      <c r="H218" s="1541"/>
    </row>
    <row r="219" spans="1:8" ht="15.6">
      <c r="A219" s="769"/>
      <c r="B219" s="769"/>
      <c r="C219" s="769"/>
      <c r="D219" s="769"/>
      <c r="E219" s="769"/>
      <c r="F219" s="769"/>
      <c r="G219" s="769"/>
      <c r="H219" s="769"/>
    </row>
    <row r="220" spans="1:8" ht="15.6">
      <c r="A220" s="769"/>
      <c r="B220" s="769"/>
      <c r="C220" s="769"/>
      <c r="D220" s="769"/>
      <c r="E220" s="769"/>
      <c r="F220" s="769"/>
      <c r="G220" s="769"/>
      <c r="H220" s="769"/>
    </row>
    <row r="221" spans="1:8" ht="21">
      <c r="A221" s="1542" t="s">
        <v>3</v>
      </c>
      <c r="B221" s="1542" t="s">
        <v>4</v>
      </c>
      <c r="C221" s="1542" t="s">
        <v>5</v>
      </c>
      <c r="D221" s="1542" t="s">
        <v>6</v>
      </c>
      <c r="E221" s="1542" t="s">
        <v>7</v>
      </c>
      <c r="F221" s="1284" t="s">
        <v>8</v>
      </c>
      <c r="G221" s="1284" t="s">
        <v>9</v>
      </c>
      <c r="H221" s="1284" t="s">
        <v>10</v>
      </c>
    </row>
    <row r="222" spans="1:8" ht="21">
      <c r="A222" s="1543"/>
      <c r="B222" s="1543"/>
      <c r="C222" s="1543"/>
      <c r="D222" s="1543"/>
      <c r="E222" s="1543"/>
      <c r="F222" s="1285" t="s">
        <v>11</v>
      </c>
      <c r="G222" s="1285" t="s">
        <v>11</v>
      </c>
      <c r="H222" s="1285" t="s">
        <v>11</v>
      </c>
    </row>
    <row r="223" spans="1:8" ht="21">
      <c r="A223" s="1284"/>
      <c r="B223" s="1286"/>
      <c r="C223" s="1287"/>
      <c r="D223" s="1288"/>
      <c r="E223" s="1288"/>
      <c r="F223" s="1288"/>
      <c r="G223" s="1289"/>
      <c r="H223" s="1290"/>
    </row>
    <row r="224" spans="1:8" ht="21">
      <c r="A224" s="1291" t="s">
        <v>12</v>
      </c>
      <c r="B224" s="1292" t="s">
        <v>13</v>
      </c>
      <c r="C224" s="1293"/>
      <c r="D224" s="1294"/>
      <c r="E224" s="1294"/>
      <c r="F224" s="1295"/>
      <c r="G224" s="1295"/>
      <c r="H224" s="1296"/>
    </row>
    <row r="225" spans="1:8" ht="21">
      <c r="A225" s="1291"/>
      <c r="B225" s="1297" t="s">
        <v>1669</v>
      </c>
      <c r="C225" s="1293">
        <v>2</v>
      </c>
      <c r="D225" s="1294" t="s">
        <v>44</v>
      </c>
      <c r="E225" s="1294" t="s">
        <v>16</v>
      </c>
      <c r="F225" s="1295">
        <v>2150000</v>
      </c>
      <c r="G225" s="1298">
        <f>F225*C225</f>
        <v>4300000</v>
      </c>
      <c r="H225" s="1296"/>
    </row>
    <row r="226" spans="1:8" ht="21">
      <c r="A226" s="1291"/>
      <c r="B226" s="1292" t="s">
        <v>1670</v>
      </c>
      <c r="C226" s="1293"/>
      <c r="D226" s="1294"/>
      <c r="E226" s="1294"/>
      <c r="F226" s="1295"/>
      <c r="G226" s="1298"/>
      <c r="H226" s="1296"/>
    </row>
    <row r="227" spans="1:8" ht="21">
      <c r="A227" s="1291"/>
      <c r="B227" s="1297" t="s">
        <v>1671</v>
      </c>
      <c r="C227" s="1293">
        <v>6</v>
      </c>
      <c r="D227" s="1294" t="s">
        <v>245</v>
      </c>
      <c r="E227" s="1294" t="s">
        <v>82</v>
      </c>
      <c r="F227" s="1295">
        <v>3418</v>
      </c>
      <c r="G227" s="1298">
        <f>F227*C227</f>
        <v>20508</v>
      </c>
      <c r="H227" s="1296"/>
    </row>
    <row r="228" spans="1:8" ht="21">
      <c r="A228" s="1291"/>
      <c r="B228" s="1297" t="s">
        <v>1672</v>
      </c>
      <c r="C228" s="1293">
        <v>3</v>
      </c>
      <c r="D228" s="1294" t="s">
        <v>44</v>
      </c>
      <c r="E228" s="1294" t="s">
        <v>82</v>
      </c>
      <c r="F228" s="1295">
        <v>39776</v>
      </c>
      <c r="G228" s="1298">
        <f>F228*C228</f>
        <v>119328</v>
      </c>
      <c r="H228" s="1296"/>
    </row>
    <row r="229" spans="1:8" ht="21">
      <c r="A229" s="1291"/>
      <c r="B229" s="1297" t="s">
        <v>1673</v>
      </c>
      <c r="C229" s="1293">
        <v>2</v>
      </c>
      <c r="D229" s="1294" t="s">
        <v>44</v>
      </c>
      <c r="E229" s="1294" t="s">
        <v>16</v>
      </c>
      <c r="F229" s="1295">
        <v>18000</v>
      </c>
      <c r="G229" s="1298">
        <f>F229*C229</f>
        <v>36000</v>
      </c>
      <c r="H229" s="1296"/>
    </row>
    <row r="230" spans="1:8" ht="21">
      <c r="A230" s="1291"/>
      <c r="B230" s="1297" t="s">
        <v>1748</v>
      </c>
      <c r="C230" s="1293">
        <v>2</v>
      </c>
      <c r="D230" s="1294" t="s">
        <v>1374</v>
      </c>
      <c r="E230" s="1294" t="s">
        <v>82</v>
      </c>
      <c r="F230" s="1295">
        <v>8000</v>
      </c>
      <c r="G230" s="1295">
        <f>F230*C230</f>
        <v>16000</v>
      </c>
      <c r="H230" s="1296"/>
    </row>
    <row r="231" spans="1:8" ht="21">
      <c r="A231" s="1291"/>
      <c r="B231" s="1292"/>
      <c r="C231" s="1293"/>
      <c r="D231" s="1294"/>
      <c r="E231" s="1294"/>
      <c r="F231" s="1295"/>
      <c r="G231" s="1295"/>
      <c r="H231" s="1299">
        <f>SUM(G225:G230)</f>
        <v>4491836</v>
      </c>
    </row>
    <row r="232" spans="1:8" ht="21">
      <c r="A232" s="1291" t="s">
        <v>18</v>
      </c>
      <c r="B232" s="1292" t="s">
        <v>19</v>
      </c>
      <c r="C232" s="1293"/>
      <c r="D232" s="1294"/>
      <c r="E232" s="1294"/>
      <c r="F232" s="1295"/>
      <c r="G232" s="1295"/>
      <c r="H232" s="1296"/>
    </row>
    <row r="233" spans="1:8" ht="21">
      <c r="A233" s="1291"/>
      <c r="B233" s="1297" t="s">
        <v>1674</v>
      </c>
      <c r="C233" s="1293">
        <v>1</v>
      </c>
      <c r="D233" s="1294" t="s">
        <v>69</v>
      </c>
      <c r="E233" s="1294" t="s">
        <v>16</v>
      </c>
      <c r="F233" s="1295">
        <v>200000</v>
      </c>
      <c r="G233" s="1298">
        <f>F233*C233</f>
        <v>200000</v>
      </c>
      <c r="H233" s="1296"/>
    </row>
    <row r="234" spans="1:8" ht="21">
      <c r="A234" s="1291"/>
      <c r="B234" s="1297" t="s">
        <v>1716</v>
      </c>
      <c r="C234" s="1293">
        <f>2*4*0.3</f>
        <v>2.4</v>
      </c>
      <c r="D234" s="1294" t="s">
        <v>81</v>
      </c>
      <c r="E234" s="1294" t="s">
        <v>82</v>
      </c>
      <c r="F234" s="1295">
        <v>940197</v>
      </c>
      <c r="G234" s="1298">
        <f>F234*C234</f>
        <v>2256472.7999999998</v>
      </c>
      <c r="H234" s="1296"/>
    </row>
    <row r="235" spans="1:8" ht="21">
      <c r="A235" s="1291"/>
      <c r="B235" s="1297" t="s">
        <v>1681</v>
      </c>
      <c r="C235" s="1293">
        <v>12</v>
      </c>
      <c r="D235" s="1294" t="s">
        <v>84</v>
      </c>
      <c r="E235" s="1294" t="s">
        <v>16</v>
      </c>
      <c r="F235" s="1295">
        <v>450000</v>
      </c>
      <c r="G235" s="1298">
        <f>F235*C235</f>
        <v>5400000</v>
      </c>
      <c r="H235" s="1296"/>
    </row>
    <row r="236" spans="1:8" ht="21">
      <c r="A236" s="1291"/>
      <c r="B236" s="1292" t="s">
        <v>1675</v>
      </c>
      <c r="C236" s="1293"/>
      <c r="D236" s="1294"/>
      <c r="E236" s="1294"/>
      <c r="F236" s="1295"/>
      <c r="G236" s="1298"/>
      <c r="H236" s="1296"/>
    </row>
    <row r="237" spans="1:8" ht="21">
      <c r="A237" s="1291"/>
      <c r="B237" s="1297" t="s">
        <v>1717</v>
      </c>
      <c r="C237" s="1293">
        <v>4</v>
      </c>
      <c r="D237" s="1294" t="s">
        <v>44</v>
      </c>
      <c r="E237" s="1294" t="s">
        <v>51</v>
      </c>
      <c r="F237" s="1295">
        <v>150000</v>
      </c>
      <c r="G237" s="1298">
        <f>F237*C237</f>
        <v>600000</v>
      </c>
      <c r="H237" s="1296"/>
    </row>
    <row r="238" spans="1:8" ht="21">
      <c r="A238" s="1291"/>
      <c r="B238" s="1297" t="s">
        <v>1676</v>
      </c>
      <c r="C238" s="1293">
        <v>1</v>
      </c>
      <c r="D238" s="1294" t="s">
        <v>69</v>
      </c>
      <c r="E238" s="1294" t="s">
        <v>16</v>
      </c>
      <c r="F238" s="1295">
        <v>450000</v>
      </c>
      <c r="G238" s="1298">
        <f>F238*C238</f>
        <v>450000</v>
      </c>
      <c r="H238" s="1296"/>
    </row>
    <row r="239" spans="1:8" ht="21">
      <c r="A239" s="1291"/>
      <c r="B239" s="1297" t="s">
        <v>1718</v>
      </c>
      <c r="C239" s="1293">
        <v>3.6</v>
      </c>
      <c r="D239" s="1294" t="s">
        <v>245</v>
      </c>
      <c r="E239" s="1294" t="s">
        <v>82</v>
      </c>
      <c r="F239" s="1295">
        <v>230775</v>
      </c>
      <c r="G239" s="1298">
        <f>F239*C239</f>
        <v>830790</v>
      </c>
      <c r="H239" s="1296"/>
    </row>
    <row r="240" spans="1:8" ht="21">
      <c r="A240" s="1291"/>
      <c r="B240" s="1297"/>
      <c r="C240" s="1293"/>
      <c r="D240" s="1294"/>
      <c r="E240" s="1294"/>
      <c r="F240" s="1295"/>
      <c r="G240" s="1298"/>
      <c r="H240" s="1296"/>
    </row>
    <row r="241" spans="1:8" ht="21">
      <c r="A241" s="1291"/>
      <c r="B241" s="1297"/>
      <c r="C241" s="1293"/>
      <c r="D241" s="1294"/>
      <c r="E241" s="1294"/>
      <c r="F241" s="1295"/>
      <c r="G241" s="1298"/>
      <c r="H241" s="1296"/>
    </row>
    <row r="242" spans="1:8" ht="21">
      <c r="A242" s="1300"/>
      <c r="B242" s="1301"/>
      <c r="C242" s="1302"/>
      <c r="D242" s="1294"/>
      <c r="E242" s="1294"/>
      <c r="F242" s="1302"/>
      <c r="G242" s="1302"/>
      <c r="H242" s="1303"/>
    </row>
    <row r="243" spans="1:8" ht="21">
      <c r="A243" s="1304"/>
      <c r="B243" s="1305"/>
      <c r="C243" s="1306"/>
      <c r="D243" s="1307"/>
      <c r="E243" s="1308"/>
      <c r="F243" s="1308" t="s">
        <v>25</v>
      </c>
      <c r="G243" s="1309">
        <f>SUM(G233:G242)</f>
        <v>9737262.8000000007</v>
      </c>
      <c r="H243" s="1310"/>
    </row>
    <row r="244" spans="1:8" ht="21">
      <c r="A244" s="1311"/>
      <c r="B244" s="1312"/>
      <c r="C244" s="1313"/>
      <c r="D244" s="1313"/>
      <c r="E244" s="1314"/>
      <c r="F244" s="1315" t="s">
        <v>1151</v>
      </c>
      <c r="G244" s="1316">
        <f>G243*10%</f>
        <v>973726.28000000014</v>
      </c>
      <c r="H244" s="1317"/>
    </row>
    <row r="245" spans="1:8" ht="21">
      <c r="A245" s="1318"/>
      <c r="B245" s="1319"/>
      <c r="C245" s="1320"/>
      <c r="D245" s="1320"/>
      <c r="E245" s="1321"/>
      <c r="F245" s="1322"/>
      <c r="G245" s="1323"/>
      <c r="H245" s="1324">
        <f>G243+G244</f>
        <v>10710989.08</v>
      </c>
    </row>
    <row r="246" spans="1:8" ht="21">
      <c r="A246" s="1311"/>
      <c r="B246" s="1312"/>
      <c r="C246" s="1313"/>
      <c r="D246" s="1313"/>
      <c r="E246" s="1314"/>
      <c r="F246" s="1315"/>
      <c r="G246" s="1325"/>
      <c r="H246" s="1326"/>
    </row>
    <row r="247" spans="1:8" ht="21">
      <c r="A247" s="1327"/>
      <c r="B247" s="1328"/>
      <c r="C247" s="1328"/>
      <c r="D247" s="1328"/>
      <c r="E247" s="1328"/>
      <c r="F247" s="1329"/>
      <c r="G247" s="1330" t="s">
        <v>28</v>
      </c>
      <c r="H247" s="1289">
        <f>H245+H231</f>
        <v>15202825.08</v>
      </c>
    </row>
    <row r="248" spans="1:8" ht="21">
      <c r="A248" s="1331"/>
      <c r="B248" s="1332"/>
      <c r="C248" s="1333"/>
      <c r="D248" s="1333"/>
      <c r="E248" s="1333"/>
      <c r="F248" s="1334"/>
      <c r="G248" s="1335" t="s">
        <v>30</v>
      </c>
      <c r="H248" s="1336">
        <f>ROUND(H247,-2)</f>
        <v>15202800</v>
      </c>
    </row>
    <row r="249" spans="1:8" ht="21">
      <c r="A249" s="1337"/>
      <c r="B249" s="1337"/>
      <c r="C249" s="1337"/>
      <c r="D249" s="1337"/>
      <c r="E249" s="1337"/>
      <c r="F249" s="1337"/>
      <c r="G249" s="1337"/>
      <c r="H249" s="1338"/>
    </row>
    <row r="250" spans="1:8" ht="21">
      <c r="A250" s="1339" t="s">
        <v>1150</v>
      </c>
      <c r="B250" s="1337"/>
      <c r="C250" s="1337"/>
      <c r="D250" s="1337"/>
      <c r="E250" s="1337"/>
      <c r="F250" s="1337"/>
      <c r="G250" s="1337"/>
      <c r="H250" s="1338"/>
    </row>
    <row r="251" spans="1:8" ht="21">
      <c r="A251" s="1337"/>
      <c r="B251" s="1340" t="s">
        <v>1749</v>
      </c>
      <c r="C251" s="1337"/>
      <c r="D251" s="1337"/>
      <c r="E251" s="1337"/>
      <c r="F251" s="1337"/>
      <c r="G251" s="1337"/>
      <c r="H251" s="1338"/>
    </row>
    <row r="252" spans="1:8" ht="21">
      <c r="A252" s="1337"/>
      <c r="B252" s="1337"/>
      <c r="C252" s="1337"/>
      <c r="D252" s="1337"/>
      <c r="E252" s="1337"/>
      <c r="F252" s="1337"/>
      <c r="G252" s="1337"/>
      <c r="H252" s="1338"/>
    </row>
    <row r="253" spans="1:8" ht="21">
      <c r="A253" s="1188"/>
      <c r="B253" s="1188"/>
      <c r="C253" s="1188"/>
      <c r="D253" s="1188"/>
      <c r="E253" s="1188"/>
      <c r="F253" s="1188"/>
      <c r="G253" s="1544" t="s">
        <v>2119</v>
      </c>
      <c r="H253" s="1544"/>
    </row>
    <row r="254" spans="1:8" ht="21">
      <c r="A254" s="1544" t="s">
        <v>31</v>
      </c>
      <c r="B254" s="1544"/>
      <c r="C254" s="1544" t="s">
        <v>32</v>
      </c>
      <c r="D254" s="1544"/>
      <c r="E254" s="1544"/>
      <c r="F254" s="1188"/>
      <c r="G254" s="1544" t="s">
        <v>33</v>
      </c>
      <c r="H254" s="1544"/>
    </row>
    <row r="255" spans="1:8" ht="21">
      <c r="A255" s="1188"/>
      <c r="B255" s="1188"/>
      <c r="C255" s="1188"/>
      <c r="D255" s="1188"/>
      <c r="E255" s="1188"/>
      <c r="F255" s="1188"/>
      <c r="G255" s="1188"/>
      <c r="H255" s="1188"/>
    </row>
    <row r="256" spans="1:8" ht="21">
      <c r="A256" s="1188"/>
      <c r="B256" s="1188"/>
      <c r="C256" s="1188"/>
      <c r="D256" s="1188"/>
      <c r="E256" s="1188"/>
      <c r="F256" s="1188"/>
      <c r="G256" s="1188"/>
      <c r="H256" s="1188"/>
    </row>
    <row r="257" spans="1:8" ht="21">
      <c r="A257" s="1188"/>
      <c r="B257" s="1188"/>
      <c r="C257" s="1188"/>
      <c r="D257" s="1188"/>
      <c r="E257" s="1188"/>
      <c r="F257" s="1188"/>
      <c r="G257" s="1188"/>
      <c r="H257" s="1188"/>
    </row>
    <row r="258" spans="1:8" ht="21">
      <c r="A258" s="1549" t="s">
        <v>1622</v>
      </c>
      <c r="B258" s="1549"/>
      <c r="C258" s="1549" t="s">
        <v>2070</v>
      </c>
      <c r="D258" s="1549"/>
      <c r="E258" s="1549"/>
      <c r="F258" s="1188"/>
      <c r="G258" s="1549" t="s">
        <v>1778</v>
      </c>
      <c r="H258" s="1549"/>
    </row>
    <row r="259" spans="1:8" ht="21">
      <c r="A259" s="1544" t="s">
        <v>37</v>
      </c>
      <c r="B259" s="1544"/>
      <c r="C259" s="1544" t="s">
        <v>1779</v>
      </c>
      <c r="D259" s="1544"/>
      <c r="E259" s="1544"/>
      <c r="F259" s="1188"/>
      <c r="G259" s="1544" t="s">
        <v>39</v>
      </c>
      <c r="H259" s="1544"/>
    </row>
    <row r="260" spans="1:8" ht="21">
      <c r="A260" s="1189"/>
      <c r="B260" s="1189"/>
      <c r="C260" s="1189"/>
      <c r="D260" s="1189"/>
      <c r="E260" s="1189"/>
      <c r="F260" s="1188"/>
      <c r="G260" s="1189"/>
      <c r="H260" s="1189"/>
    </row>
    <row r="266" spans="1:8" ht="28.8">
      <c r="A266" s="597"/>
      <c r="B266" s="597"/>
      <c r="C266" s="1513" t="s">
        <v>1968</v>
      </c>
      <c r="D266" s="1513"/>
      <c r="E266" s="1513"/>
      <c r="F266" s="1513"/>
      <c r="G266" s="1513"/>
      <c r="H266" s="1513"/>
    </row>
    <row r="267" spans="1:8" ht="25.8">
      <c r="A267" s="598"/>
      <c r="B267" s="598"/>
      <c r="C267" s="1537" t="s">
        <v>2113</v>
      </c>
      <c r="D267" s="1537"/>
      <c r="E267" s="1537"/>
      <c r="F267" s="1537"/>
      <c r="G267" s="1537"/>
      <c r="H267" s="1537"/>
    </row>
    <row r="268" spans="1:8" ht="21">
      <c r="A268" s="7"/>
      <c r="B268" s="7"/>
      <c r="C268" s="1535" t="s">
        <v>2112</v>
      </c>
      <c r="D268" s="1536"/>
      <c r="E268" s="1536"/>
      <c r="F268" s="1536"/>
      <c r="G268" s="1536"/>
      <c r="H268" s="1536"/>
    </row>
    <row r="269" spans="1:8" ht="12.6" thickBot="1">
      <c r="A269" s="7"/>
      <c r="B269" s="7"/>
      <c r="C269" s="7"/>
      <c r="D269" s="7"/>
      <c r="E269" s="7"/>
      <c r="F269" s="7"/>
      <c r="G269" s="7"/>
      <c r="H269" s="7"/>
    </row>
    <row r="270" spans="1:8" ht="18">
      <c r="A270" s="1550" t="s">
        <v>3</v>
      </c>
      <c r="B270" s="1545" t="s">
        <v>4</v>
      </c>
      <c r="C270" s="1545" t="s">
        <v>5</v>
      </c>
      <c r="D270" s="1545" t="s">
        <v>6</v>
      </c>
      <c r="E270" s="1545" t="s">
        <v>7</v>
      </c>
      <c r="F270" s="1222" t="s">
        <v>8</v>
      </c>
      <c r="G270" s="1222" t="s">
        <v>9</v>
      </c>
      <c r="H270" s="1223" t="s">
        <v>10</v>
      </c>
    </row>
    <row r="271" spans="1:8" ht="18">
      <c r="A271" s="1551"/>
      <c r="B271" s="1532"/>
      <c r="C271" s="1532"/>
      <c r="D271" s="1532"/>
      <c r="E271" s="1532"/>
      <c r="F271" s="1221" t="s">
        <v>11</v>
      </c>
      <c r="G271" s="1221" t="s">
        <v>11</v>
      </c>
      <c r="H271" s="1225" t="s">
        <v>11</v>
      </c>
    </row>
    <row r="272" spans="1:8" ht="18">
      <c r="A272" s="1226" t="s">
        <v>12</v>
      </c>
      <c r="B272" s="1227" t="s">
        <v>13</v>
      </c>
      <c r="C272" s="1228"/>
      <c r="D272" s="1229"/>
      <c r="E272" s="1229"/>
      <c r="F272" s="1230"/>
      <c r="G272" s="1231"/>
      <c r="H272" s="1232"/>
    </row>
    <row r="273" spans="1:8" ht="18">
      <c r="A273" s="1233">
        <v>1</v>
      </c>
      <c r="B273" s="1250" t="s">
        <v>2114</v>
      </c>
      <c r="C273" s="1010">
        <v>1</v>
      </c>
      <c r="D273" s="1235" t="s">
        <v>138</v>
      </c>
      <c r="E273" s="1229" t="s">
        <v>16</v>
      </c>
      <c r="F273" s="1251">
        <v>1816910</v>
      </c>
      <c r="G273" s="1251">
        <f>F273*C273</f>
        <v>1816910</v>
      </c>
      <c r="H273" s="1232"/>
    </row>
    <row r="274" spans="1:8" ht="18">
      <c r="A274" s="1233">
        <v>2</v>
      </c>
      <c r="B274" s="1250" t="s">
        <v>2115</v>
      </c>
      <c r="C274" s="1010">
        <v>1</v>
      </c>
      <c r="D274" s="1235" t="s">
        <v>138</v>
      </c>
      <c r="E274" s="1229" t="s">
        <v>16</v>
      </c>
      <c r="F274" s="1251">
        <v>1229748</v>
      </c>
      <c r="G274" s="1251">
        <f>F274*C274</f>
        <v>1229748</v>
      </c>
      <c r="H274" s="1232"/>
    </row>
    <row r="275" spans="1:8" ht="18">
      <c r="A275" s="1233"/>
      <c r="B275" s="1250"/>
      <c r="C275" s="1010"/>
      <c r="D275" s="1235"/>
      <c r="E275" s="1229"/>
      <c r="F275" s="1251"/>
      <c r="G275" s="1251"/>
      <c r="H275" s="1232"/>
    </row>
    <row r="276" spans="1:8" ht="18">
      <c r="A276" s="1008" t="s">
        <v>18</v>
      </c>
      <c r="B276" s="1019" t="s">
        <v>19</v>
      </c>
      <c r="C276" s="1020"/>
      <c r="D276" s="1011"/>
      <c r="E276" s="1011"/>
      <c r="F276" s="1136"/>
      <c r="G276" s="1136"/>
      <c r="H276" s="1232"/>
    </row>
    <row r="277" spans="1:8" ht="18">
      <c r="A277" s="1023">
        <v>1</v>
      </c>
      <c r="B277" s="1021" t="s">
        <v>2116</v>
      </c>
      <c r="C277" s="1010">
        <v>1</v>
      </c>
      <c r="D277" s="1011" t="s">
        <v>2003</v>
      </c>
      <c r="E277" s="1011" t="s">
        <v>82</v>
      </c>
      <c r="F277" s="1022">
        <v>135000</v>
      </c>
      <c r="G277" s="1022">
        <f>F277*C277</f>
        <v>135000</v>
      </c>
      <c r="H277" s="1232"/>
    </row>
    <row r="278" spans="1:8" ht="18">
      <c r="A278" s="1023">
        <v>2</v>
      </c>
      <c r="B278" s="1021" t="s">
        <v>2117</v>
      </c>
      <c r="C278" s="1010">
        <v>2</v>
      </c>
      <c r="D278" s="1011" t="s">
        <v>2003</v>
      </c>
      <c r="E278" s="1011" t="s">
        <v>82</v>
      </c>
      <c r="F278" s="1022">
        <v>90000</v>
      </c>
      <c r="G278" s="1022">
        <f>F278*C278</f>
        <v>180000</v>
      </c>
      <c r="H278" s="1232"/>
    </row>
    <row r="279" spans="1:8" ht="18">
      <c r="A279" s="1283">
        <v>3</v>
      </c>
      <c r="B279" s="1250" t="s">
        <v>2092</v>
      </c>
      <c r="C279" s="1010">
        <v>2</v>
      </c>
      <c r="D279" s="1235" t="s">
        <v>138</v>
      </c>
      <c r="E279" s="1229" t="s">
        <v>16</v>
      </c>
      <c r="F279" s="1251">
        <v>55000</v>
      </c>
      <c r="G279" s="1251">
        <f>F279*C279</f>
        <v>110000</v>
      </c>
      <c r="H279" s="1232"/>
    </row>
    <row r="280" spans="1:8" ht="18">
      <c r="A280" s="1224"/>
      <c r="B280" s="1241"/>
      <c r="C280" s="1252"/>
      <c r="D280" s="1244"/>
      <c r="E280" s="1244"/>
      <c r="F280" s="1245"/>
      <c r="G280" s="1246"/>
      <c r="H280" s="1232"/>
    </row>
    <row r="281" spans="1:8" ht="18">
      <c r="A281" s="1253"/>
      <c r="B281" s="1254"/>
      <c r="C281" s="1255"/>
      <c r="D281" s="1239"/>
      <c r="E281" s="1239"/>
      <c r="F281" s="1256" t="s">
        <v>25</v>
      </c>
      <c r="G281" s="1237">
        <f>SUM(G273:G280)</f>
        <v>3471658</v>
      </c>
      <c r="H281" s="1232"/>
    </row>
    <row r="282" spans="1:8" ht="18">
      <c r="A282" s="1253"/>
      <c r="B282" s="1254"/>
      <c r="C282" s="1255"/>
      <c r="D282" s="1239"/>
      <c r="E282" s="1239"/>
      <c r="F282" s="1257" t="s">
        <v>26</v>
      </c>
      <c r="G282" s="1237"/>
      <c r="H282" s="1232"/>
    </row>
    <row r="283" spans="1:8" ht="18">
      <c r="A283" s="1258"/>
      <c r="B283" s="1259"/>
      <c r="C283" s="1260"/>
      <c r="D283" s="1261"/>
      <c r="E283" s="1261"/>
      <c r="F283" s="1262"/>
      <c r="G283" s="1241"/>
      <c r="H283" s="1247">
        <f>SUM(G281:G282)</f>
        <v>3471658</v>
      </c>
    </row>
    <row r="284" spans="1:8" ht="18.600000000000001" thickBot="1">
      <c r="A284" s="1253"/>
      <c r="B284" s="1263"/>
      <c r="C284" s="1255"/>
      <c r="D284" s="1239"/>
      <c r="E284" s="1239"/>
      <c r="F284" s="1264"/>
      <c r="G284" s="1265"/>
      <c r="H284" s="1266"/>
    </row>
    <row r="285" spans="1:8" ht="18">
      <c r="A285" s="1267"/>
      <c r="B285" s="1268"/>
      <c r="C285" s="1269"/>
      <c r="D285" s="1270"/>
      <c r="E285" s="1270"/>
      <c r="F285" s="1270"/>
      <c r="G285" s="1271" t="s">
        <v>28</v>
      </c>
      <c r="H285" s="1272">
        <f>SUM(H273:H283)</f>
        <v>3471658</v>
      </c>
    </row>
    <row r="286" spans="1:8" ht="18.600000000000001" thickBot="1">
      <c r="A286" s="1273"/>
      <c r="B286" s="1274"/>
      <c r="C286" s="1275"/>
      <c r="D286" s="1275"/>
      <c r="E286" s="1276"/>
      <c r="F286" s="1277"/>
      <c r="G286" s="1278" t="s">
        <v>30</v>
      </c>
      <c r="H286" s="1279">
        <f>ROUND(H285,-3)</f>
        <v>3472000</v>
      </c>
    </row>
    <row r="287" spans="1:8" ht="18">
      <c r="A287" s="1138"/>
      <c r="B287" s="1138"/>
      <c r="C287" s="1138"/>
      <c r="D287" s="1138"/>
      <c r="E287" s="1138"/>
      <c r="F287" s="1138"/>
      <c r="G287" s="1138"/>
      <c r="H287" s="1139"/>
    </row>
    <row r="288" spans="1:8" ht="18">
      <c r="A288" s="768" t="s">
        <v>549</v>
      </c>
      <c r="B288" s="1138"/>
      <c r="C288" s="1138"/>
      <c r="D288" s="1138"/>
      <c r="E288" s="1138"/>
      <c r="F288" s="1138"/>
      <c r="G288" s="1138"/>
      <c r="H288" s="1139"/>
    </row>
    <row r="289" spans="1:8" ht="18">
      <c r="A289" s="958"/>
      <c r="B289" s="957" t="s">
        <v>2118</v>
      </c>
      <c r="C289" s="958"/>
      <c r="D289" s="958"/>
      <c r="E289" s="958"/>
      <c r="F289" s="958"/>
      <c r="G289" s="959"/>
      <c r="H289" s="959"/>
    </row>
    <row r="290" spans="1:8" ht="18">
      <c r="A290" s="958"/>
      <c r="B290" s="958"/>
      <c r="C290" s="958"/>
      <c r="D290" s="958"/>
      <c r="E290" s="958"/>
      <c r="F290" s="958"/>
      <c r="G290" s="1530" t="s">
        <v>2095</v>
      </c>
      <c r="H290" s="1530"/>
    </row>
    <row r="291" spans="1:8" ht="18">
      <c r="A291" s="1530" t="s">
        <v>31</v>
      </c>
      <c r="B291" s="1530"/>
      <c r="C291" s="1530" t="s">
        <v>914</v>
      </c>
      <c r="D291" s="1530"/>
      <c r="E291" s="1530"/>
      <c r="F291" s="958"/>
      <c r="G291" s="1530" t="s">
        <v>33</v>
      </c>
      <c r="H291" s="1530"/>
    </row>
    <row r="292" spans="1:8" ht="18">
      <c r="A292" s="958"/>
      <c r="B292" s="958"/>
      <c r="C292" s="958"/>
      <c r="D292" s="958"/>
      <c r="E292" s="958"/>
      <c r="F292" s="958"/>
      <c r="G292" s="958"/>
      <c r="H292" s="958"/>
    </row>
    <row r="293" spans="1:8" ht="18">
      <c r="A293" s="958"/>
      <c r="B293" s="958"/>
      <c r="C293" s="958"/>
      <c r="D293" s="958"/>
      <c r="E293" s="958"/>
      <c r="F293" s="958"/>
      <c r="G293" s="958"/>
      <c r="H293" s="958"/>
    </row>
    <row r="294" spans="1:8" ht="18">
      <c r="A294" s="958"/>
      <c r="B294" s="958"/>
      <c r="C294" s="958"/>
      <c r="D294" s="958"/>
      <c r="E294" s="958"/>
      <c r="F294" s="958"/>
      <c r="G294" s="958"/>
      <c r="H294" s="958"/>
    </row>
    <row r="295" spans="1:8" ht="18">
      <c r="A295" s="1529" t="s">
        <v>1622</v>
      </c>
      <c r="B295" s="1529"/>
      <c r="C295" s="1529" t="s">
        <v>1603</v>
      </c>
      <c r="D295" s="1529"/>
      <c r="E295" s="1529"/>
      <c r="F295" s="958"/>
      <c r="G295" s="1529" t="s">
        <v>1778</v>
      </c>
      <c r="H295" s="1529"/>
    </row>
    <row r="296" spans="1:8" ht="18">
      <c r="A296" s="1530" t="s">
        <v>37</v>
      </c>
      <c r="B296" s="1530"/>
      <c r="C296" s="1530" t="s">
        <v>1867</v>
      </c>
      <c r="D296" s="1530"/>
      <c r="E296" s="1530"/>
      <c r="F296" s="958"/>
      <c r="G296" s="1530" t="s">
        <v>39</v>
      </c>
      <c r="H296" s="1530"/>
    </row>
    <row r="297" spans="1:8" ht="18">
      <c r="A297" s="1140"/>
      <c r="B297" s="1140"/>
      <c r="C297" s="1140"/>
      <c r="D297" s="1140"/>
      <c r="E297" s="1140"/>
      <c r="F297" s="1140"/>
      <c r="G297" s="1140"/>
      <c r="H297" s="1140"/>
    </row>
    <row r="301" spans="1:8" ht="28.8">
      <c r="A301" s="597"/>
      <c r="B301" s="597"/>
      <c r="C301" s="1513" t="s">
        <v>1968</v>
      </c>
      <c r="D301" s="1513"/>
      <c r="E301" s="1513"/>
      <c r="F301" s="1513"/>
      <c r="G301" s="1513"/>
      <c r="H301" s="1513"/>
    </row>
    <row r="302" spans="1:8" ht="25.8">
      <c r="A302" s="598"/>
      <c r="B302" s="598"/>
      <c r="C302" s="1537" t="s">
        <v>2085</v>
      </c>
      <c r="D302" s="1537"/>
      <c r="E302" s="1537"/>
      <c r="F302" s="1537"/>
      <c r="G302" s="1537"/>
      <c r="H302" s="1537"/>
    </row>
    <row r="303" spans="1:8" ht="21">
      <c r="A303" s="599"/>
      <c r="B303" s="599"/>
      <c r="C303" s="1535" t="s">
        <v>2086</v>
      </c>
      <c r="D303" s="1536"/>
      <c r="E303" s="1536"/>
      <c r="F303" s="1536"/>
      <c r="G303" s="1536"/>
      <c r="H303" s="1536"/>
    </row>
    <row r="304" spans="1:8" ht="21">
      <c r="A304" s="7"/>
      <c r="B304" s="7"/>
      <c r="C304" s="1535" t="s">
        <v>2087</v>
      </c>
      <c r="D304" s="1536"/>
      <c r="E304" s="1536"/>
      <c r="F304" s="1536"/>
      <c r="G304" s="1536"/>
      <c r="H304" s="1536"/>
    </row>
    <row r="305" spans="1:8" ht="12.6" thickBot="1">
      <c r="A305" s="7"/>
      <c r="B305" s="7"/>
      <c r="C305" s="7"/>
      <c r="D305" s="7"/>
      <c r="E305" s="7"/>
      <c r="F305" s="7"/>
      <c r="G305" s="7"/>
      <c r="H305" s="7"/>
    </row>
    <row r="306" spans="1:8" ht="18">
      <c r="A306" s="1550" t="s">
        <v>3</v>
      </c>
      <c r="B306" s="1545" t="s">
        <v>4</v>
      </c>
      <c r="C306" s="1545" t="s">
        <v>5</v>
      </c>
      <c r="D306" s="1545" t="s">
        <v>6</v>
      </c>
      <c r="E306" s="1545" t="s">
        <v>7</v>
      </c>
      <c r="F306" s="1222" t="s">
        <v>8</v>
      </c>
      <c r="G306" s="1222" t="s">
        <v>9</v>
      </c>
      <c r="H306" s="1223" t="s">
        <v>10</v>
      </c>
    </row>
    <row r="307" spans="1:8" ht="18">
      <c r="A307" s="1551"/>
      <c r="B307" s="1532"/>
      <c r="C307" s="1532"/>
      <c r="D307" s="1532"/>
      <c r="E307" s="1532"/>
      <c r="F307" s="1221" t="s">
        <v>11</v>
      </c>
      <c r="G307" s="1221" t="s">
        <v>11</v>
      </c>
      <c r="H307" s="1225" t="s">
        <v>11</v>
      </c>
    </row>
    <row r="308" spans="1:8" ht="18">
      <c r="A308" s="1226" t="s">
        <v>12</v>
      </c>
      <c r="B308" s="1227" t="s">
        <v>13</v>
      </c>
      <c r="C308" s="1228"/>
      <c r="D308" s="1229"/>
      <c r="E308" s="1229"/>
      <c r="F308" s="1230"/>
      <c r="G308" s="1231"/>
      <c r="H308" s="1232"/>
    </row>
    <row r="309" spans="1:8" ht="18">
      <c r="A309" s="1233">
        <v>1</v>
      </c>
      <c r="B309" s="1234" t="s">
        <v>2088</v>
      </c>
      <c r="C309" s="1010">
        <v>1</v>
      </c>
      <c r="D309" s="1235" t="s">
        <v>15</v>
      </c>
      <c r="E309" s="1229" t="s">
        <v>16</v>
      </c>
      <c r="F309" s="1236">
        <v>3300200</v>
      </c>
      <c r="G309" s="1237">
        <f>F309*C309</f>
        <v>3300200</v>
      </c>
      <c r="H309" s="1238"/>
    </row>
    <row r="310" spans="1:8" ht="18">
      <c r="A310" s="1233">
        <v>2</v>
      </c>
      <c r="B310" s="1234" t="s">
        <v>2089</v>
      </c>
      <c r="C310" s="1010">
        <v>0.5</v>
      </c>
      <c r="D310" s="1235" t="s">
        <v>47</v>
      </c>
      <c r="E310" s="1546" t="s">
        <v>2091</v>
      </c>
      <c r="F310" s="1547"/>
      <c r="G310" s="1548"/>
      <c r="H310" s="1238"/>
    </row>
    <row r="311" spans="1:8" ht="18">
      <c r="A311" s="1233">
        <v>3</v>
      </c>
      <c r="B311" s="1234" t="s">
        <v>2090</v>
      </c>
      <c r="C311" s="1010">
        <v>8</v>
      </c>
      <c r="D311" s="1235" t="s">
        <v>15</v>
      </c>
      <c r="E311" s="1546" t="s">
        <v>2091</v>
      </c>
      <c r="F311" s="1547"/>
      <c r="G311" s="1548"/>
      <c r="H311" s="1238"/>
    </row>
    <row r="312" spans="1:8" ht="18">
      <c r="A312" s="1240"/>
      <c r="B312" s="1241"/>
      <c r="C312" s="1242"/>
      <c r="D312" s="1243"/>
      <c r="E312" s="1244"/>
      <c r="F312" s="1245"/>
      <c r="G312" s="1246"/>
      <c r="H312" s="1247">
        <f>SUM(G309:G309)</f>
        <v>3300200</v>
      </c>
    </row>
    <row r="313" spans="1:8" ht="18">
      <c r="A313" s="1226" t="s">
        <v>18</v>
      </c>
      <c r="B313" s="1227" t="s">
        <v>19</v>
      </c>
      <c r="C313" s="1248"/>
      <c r="D313" s="1229"/>
      <c r="E313" s="1229"/>
      <c r="F313" s="1249"/>
      <c r="G313" s="1237"/>
      <c r="H313" s="1232"/>
    </row>
    <row r="314" spans="1:8" ht="18">
      <c r="A314" s="1233">
        <v>1</v>
      </c>
      <c r="B314" s="1250" t="s">
        <v>2092</v>
      </c>
      <c r="C314" s="1010">
        <v>3</v>
      </c>
      <c r="D314" s="1235" t="s">
        <v>138</v>
      </c>
      <c r="E314" s="1229" t="s">
        <v>16</v>
      </c>
      <c r="F314" s="1251">
        <v>55000</v>
      </c>
      <c r="G314" s="1251">
        <f>F314*C314</f>
        <v>165000</v>
      </c>
      <c r="H314" s="1232"/>
    </row>
    <row r="315" spans="1:8" ht="18">
      <c r="A315" s="1233">
        <v>2</v>
      </c>
      <c r="B315" s="1250" t="s">
        <v>2093</v>
      </c>
      <c r="C315" s="1010">
        <v>1</v>
      </c>
      <c r="D315" s="1235" t="s">
        <v>2003</v>
      </c>
      <c r="E315" s="1229" t="s">
        <v>16</v>
      </c>
      <c r="F315" s="1251">
        <v>135000</v>
      </c>
      <c r="G315" s="1251">
        <f>F315*C315*1.5</f>
        <v>202500</v>
      </c>
      <c r="H315" s="1232"/>
    </row>
    <row r="316" spans="1:8" ht="18">
      <c r="A316" s="1233">
        <v>3</v>
      </c>
      <c r="B316" s="1250" t="s">
        <v>2094</v>
      </c>
      <c r="C316" s="1010">
        <v>2</v>
      </c>
      <c r="D316" s="1235" t="s">
        <v>2003</v>
      </c>
      <c r="E316" s="1229" t="s">
        <v>16</v>
      </c>
      <c r="F316" s="1251">
        <v>90000</v>
      </c>
      <c r="G316" s="1251">
        <f>F316*C316*1.5</f>
        <v>270000</v>
      </c>
      <c r="H316" s="1232"/>
    </row>
    <row r="317" spans="1:8" ht="18">
      <c r="A317" s="1224"/>
      <c r="B317" s="1241"/>
      <c r="C317" s="1252"/>
      <c r="D317" s="1244"/>
      <c r="E317" s="1244"/>
      <c r="F317" s="1245"/>
      <c r="G317" s="1246"/>
      <c r="H317" s="1232"/>
    </row>
    <row r="318" spans="1:8" ht="18">
      <c r="A318" s="1253"/>
      <c r="B318" s="1254"/>
      <c r="C318" s="1255"/>
      <c r="D318" s="1239"/>
      <c r="E318" s="1239"/>
      <c r="F318" s="1256" t="s">
        <v>25</v>
      </c>
      <c r="G318" s="1237">
        <f>SUM(G314:G317)</f>
        <v>637500</v>
      </c>
      <c r="H318" s="1232"/>
    </row>
    <row r="319" spans="1:8" ht="18">
      <c r="A319" s="1253"/>
      <c r="B319" s="1254"/>
      <c r="C319" s="1255"/>
      <c r="D319" s="1239"/>
      <c r="E319" s="1239"/>
      <c r="F319" s="1257" t="s">
        <v>26</v>
      </c>
      <c r="G319" s="1237"/>
      <c r="H319" s="1232"/>
    </row>
    <row r="320" spans="1:8" ht="18">
      <c r="A320" s="1258"/>
      <c r="B320" s="1259"/>
      <c r="C320" s="1260"/>
      <c r="D320" s="1261"/>
      <c r="E320" s="1261"/>
      <c r="F320" s="1262"/>
      <c r="G320" s="1241"/>
      <c r="H320" s="1247">
        <f>SUM(G318:G319)</f>
        <v>637500</v>
      </c>
    </row>
    <row r="321" spans="1:8" ht="18.600000000000001" thickBot="1">
      <c r="A321" s="1253"/>
      <c r="B321" s="1263"/>
      <c r="C321" s="1255"/>
      <c r="D321" s="1239"/>
      <c r="E321" s="1239"/>
      <c r="F321" s="1264"/>
      <c r="G321" s="1265"/>
      <c r="H321" s="1266"/>
    </row>
    <row r="322" spans="1:8" ht="18">
      <c r="A322" s="1267"/>
      <c r="B322" s="1268"/>
      <c r="C322" s="1269"/>
      <c r="D322" s="1270"/>
      <c r="E322" s="1270"/>
      <c r="F322" s="1270"/>
      <c r="G322" s="1271" t="s">
        <v>28</v>
      </c>
      <c r="H322" s="1272">
        <f>SUM(H309:H320)</f>
        <v>3937700</v>
      </c>
    </row>
    <row r="323" spans="1:8" ht="18.600000000000001" thickBot="1">
      <c r="A323" s="1273"/>
      <c r="B323" s="1274"/>
      <c r="C323" s="1275"/>
      <c r="D323" s="1275"/>
      <c r="E323" s="1276"/>
      <c r="F323" s="1277"/>
      <c r="G323" s="1278" t="s">
        <v>30</v>
      </c>
      <c r="H323" s="1279">
        <f>ROUND(H322,-3)</f>
        <v>3938000</v>
      </c>
    </row>
    <row r="324" spans="1:8" ht="18">
      <c r="A324" s="1138"/>
      <c r="B324" s="1138"/>
      <c r="C324" s="1138"/>
      <c r="D324" s="1138"/>
      <c r="E324" s="1138"/>
      <c r="F324" s="1138"/>
      <c r="G324" s="1138"/>
      <c r="H324" s="1139"/>
    </row>
    <row r="325" spans="1:8" ht="18">
      <c r="A325" s="768" t="s">
        <v>549</v>
      </c>
      <c r="B325" s="1138"/>
      <c r="C325" s="1138"/>
      <c r="D325" s="1138"/>
      <c r="E325" s="1138"/>
      <c r="F325" s="1138"/>
      <c r="G325" s="1138"/>
      <c r="H325" s="1139"/>
    </row>
    <row r="326" spans="1:8" ht="18">
      <c r="A326" s="958"/>
      <c r="B326" s="957" t="s">
        <v>2111</v>
      </c>
      <c r="C326" s="958"/>
      <c r="D326" s="958"/>
      <c r="E326" s="958"/>
      <c r="F326" s="958"/>
      <c r="G326" s="959"/>
      <c r="H326" s="959"/>
    </row>
    <row r="327" spans="1:8" ht="18">
      <c r="A327" s="958"/>
      <c r="B327" s="958"/>
      <c r="C327" s="958"/>
      <c r="D327" s="958"/>
      <c r="E327" s="958"/>
      <c r="F327" s="958"/>
      <c r="G327" s="1530" t="s">
        <v>2095</v>
      </c>
      <c r="H327" s="1530"/>
    </row>
    <row r="328" spans="1:8" ht="18">
      <c r="A328" s="1530" t="s">
        <v>31</v>
      </c>
      <c r="B328" s="1530"/>
      <c r="C328" s="1530" t="s">
        <v>914</v>
      </c>
      <c r="D328" s="1530"/>
      <c r="E328" s="1530"/>
      <c r="F328" s="958"/>
      <c r="G328" s="1530" t="s">
        <v>33</v>
      </c>
      <c r="H328" s="1530"/>
    </row>
    <row r="329" spans="1:8" ht="18">
      <c r="A329" s="958"/>
      <c r="B329" s="958"/>
      <c r="C329" s="958"/>
      <c r="D329" s="958"/>
      <c r="E329" s="958"/>
      <c r="F329" s="958"/>
      <c r="G329" s="958"/>
      <c r="H329" s="958"/>
    </row>
    <row r="330" spans="1:8" ht="18">
      <c r="A330" s="958"/>
      <c r="B330" s="958"/>
      <c r="C330" s="958"/>
      <c r="D330" s="958"/>
      <c r="E330" s="958"/>
      <c r="F330" s="958"/>
      <c r="G330" s="958"/>
      <c r="H330" s="958"/>
    </row>
    <row r="331" spans="1:8" ht="18">
      <c r="A331" s="958"/>
      <c r="B331" s="958"/>
      <c r="C331" s="958"/>
      <c r="D331" s="958"/>
      <c r="E331" s="958"/>
      <c r="F331" s="958"/>
      <c r="G331" s="958"/>
      <c r="H331" s="958"/>
    </row>
    <row r="332" spans="1:8" ht="18">
      <c r="A332" s="1529" t="s">
        <v>1622</v>
      </c>
      <c r="B332" s="1529"/>
      <c r="C332" s="1529" t="s">
        <v>1603</v>
      </c>
      <c r="D332" s="1529"/>
      <c r="E332" s="1529"/>
      <c r="F332" s="958"/>
      <c r="G332" s="1529" t="s">
        <v>1778</v>
      </c>
      <c r="H332" s="1529"/>
    </row>
    <row r="333" spans="1:8" ht="18">
      <c r="A333" s="1530" t="s">
        <v>37</v>
      </c>
      <c r="B333" s="1530"/>
      <c r="C333" s="1530" t="s">
        <v>1867</v>
      </c>
      <c r="D333" s="1530"/>
      <c r="E333" s="1530"/>
      <c r="F333" s="958"/>
      <c r="G333" s="1530" t="s">
        <v>39</v>
      </c>
      <c r="H333" s="1530"/>
    </row>
    <row r="334" spans="1:8" ht="18">
      <c r="A334" s="1140"/>
      <c r="B334" s="1140"/>
      <c r="C334" s="1140"/>
      <c r="D334" s="1140"/>
      <c r="E334" s="1140"/>
      <c r="F334" s="1140"/>
      <c r="G334" s="1140"/>
      <c r="H334" s="1140"/>
    </row>
    <row r="341" spans="1:8" ht="28.8">
      <c r="A341" s="597"/>
      <c r="B341" s="597"/>
      <c r="C341" s="1513" t="s">
        <v>1968</v>
      </c>
      <c r="D341" s="1513"/>
      <c r="E341" s="1513"/>
      <c r="F341" s="1513"/>
      <c r="G341" s="1513"/>
      <c r="H341" s="1513"/>
    </row>
    <row r="342" spans="1:8" ht="25.8">
      <c r="A342" s="598"/>
      <c r="B342" s="598"/>
      <c r="C342" s="1537" t="s">
        <v>2071</v>
      </c>
      <c r="D342" s="1537"/>
      <c r="E342" s="1537"/>
      <c r="F342" s="1537"/>
      <c r="G342" s="1537"/>
      <c r="H342" s="1537"/>
    </row>
    <row r="343" spans="1:8" ht="21">
      <c r="A343" s="599"/>
      <c r="B343" s="599"/>
      <c r="C343" s="1535" t="s">
        <v>1078</v>
      </c>
      <c r="D343" s="1536"/>
      <c r="E343" s="1536"/>
      <c r="F343" s="1536"/>
      <c r="G343" s="1536"/>
      <c r="H343" s="1536"/>
    </row>
    <row r="344" spans="1:8">
      <c r="A344" s="7"/>
      <c r="B344" s="7"/>
      <c r="C344" s="7"/>
      <c r="D344" s="7"/>
      <c r="E344" s="7"/>
      <c r="F344" s="7"/>
      <c r="G344" s="7"/>
      <c r="H344" s="7"/>
    </row>
    <row r="345" spans="1:8" ht="12.6" thickBot="1">
      <c r="A345" s="7"/>
      <c r="B345" s="7"/>
      <c r="C345" s="7"/>
      <c r="D345" s="7"/>
      <c r="E345" s="7"/>
      <c r="F345" s="7"/>
      <c r="G345" s="7"/>
      <c r="H345" s="7"/>
    </row>
    <row r="346" spans="1:8" ht="28.5" customHeight="1">
      <c r="A346" s="1538" t="s">
        <v>3</v>
      </c>
      <c r="B346" s="1540" t="s">
        <v>4</v>
      </c>
      <c r="C346" s="1540" t="s">
        <v>5</v>
      </c>
      <c r="D346" s="1540" t="s">
        <v>6</v>
      </c>
      <c r="E346" s="1540" t="s">
        <v>7</v>
      </c>
      <c r="F346" s="8" t="s">
        <v>8</v>
      </c>
      <c r="G346" s="8" t="s">
        <v>9</v>
      </c>
      <c r="H346" s="9" t="s">
        <v>10</v>
      </c>
    </row>
    <row r="347" spans="1:8" ht="15.6">
      <c r="A347" s="1539"/>
      <c r="B347" s="1517"/>
      <c r="C347" s="1517"/>
      <c r="D347" s="1517"/>
      <c r="E347" s="1517"/>
      <c r="F347" s="10" t="s">
        <v>11</v>
      </c>
      <c r="G347" s="10" t="s">
        <v>11</v>
      </c>
      <c r="H347" s="11" t="s">
        <v>11</v>
      </c>
    </row>
    <row r="348" spans="1:8" ht="15.6">
      <c r="A348" s="12" t="s">
        <v>12</v>
      </c>
      <c r="B348" s="13" t="s">
        <v>13</v>
      </c>
      <c r="C348" s="14"/>
      <c r="D348" s="15"/>
      <c r="E348" s="15"/>
      <c r="F348" s="16"/>
      <c r="G348" s="17"/>
      <c r="H348" s="18"/>
    </row>
    <row r="349" spans="1:8" ht="15.6">
      <c r="A349" s="12"/>
      <c r="B349" s="763" t="s">
        <v>1079</v>
      </c>
      <c r="C349" s="1143">
        <v>1</v>
      </c>
      <c r="D349" s="764" t="s">
        <v>893</v>
      </c>
      <c r="E349" s="15" t="s">
        <v>421</v>
      </c>
      <c r="F349" s="593">
        <v>35000</v>
      </c>
      <c r="G349" s="20">
        <f>F349*C349</f>
        <v>35000</v>
      </c>
      <c r="H349" s="21"/>
    </row>
    <row r="350" spans="1:8" ht="15.6">
      <c r="A350" s="611"/>
      <c r="B350" s="612"/>
      <c r="C350" s="1144"/>
      <c r="D350" s="614"/>
      <c r="E350" s="615"/>
      <c r="F350" s="631"/>
      <c r="G350" s="632"/>
      <c r="H350" s="618">
        <f>SUM(G349:G349)</f>
        <v>35000</v>
      </c>
    </row>
    <row r="351" spans="1:8" ht="15.6">
      <c r="A351" s="12" t="s">
        <v>18</v>
      </c>
      <c r="B351" s="13" t="s">
        <v>19</v>
      </c>
      <c r="C351" s="1145"/>
      <c r="D351" s="15"/>
      <c r="E351" s="15"/>
      <c r="F351" s="19"/>
      <c r="G351" s="20"/>
      <c r="H351" s="18"/>
    </row>
    <row r="352" spans="1:8" ht="15.6">
      <c r="A352" s="12"/>
      <c r="B352" s="1142" t="s">
        <v>2068</v>
      </c>
      <c r="C352" s="1143">
        <v>1</v>
      </c>
      <c r="D352" s="764" t="s">
        <v>893</v>
      </c>
      <c r="E352" s="764" t="s">
        <v>421</v>
      </c>
      <c r="F352" s="1146">
        <v>1000000</v>
      </c>
      <c r="G352" s="1146">
        <f>C352*F352</f>
        <v>1000000</v>
      </c>
      <c r="H352" s="18"/>
    </row>
    <row r="353" spans="1:8" ht="15.6">
      <c r="A353" s="12"/>
      <c r="B353" s="1142" t="s">
        <v>1081</v>
      </c>
      <c r="C353" s="1143"/>
      <c r="D353" s="764"/>
      <c r="E353" s="764"/>
      <c r="F353" s="1146"/>
      <c r="G353" s="1146"/>
      <c r="H353" s="18"/>
    </row>
    <row r="354" spans="1:8" ht="15.6">
      <c r="A354" s="12"/>
      <c r="B354" s="1142" t="s">
        <v>1082</v>
      </c>
      <c r="C354" s="1143"/>
      <c r="D354" s="764"/>
      <c r="E354" s="764"/>
      <c r="F354" s="1146"/>
      <c r="G354" s="1146"/>
      <c r="H354" s="18"/>
    </row>
    <row r="355" spans="1:8" ht="15.6">
      <c r="A355" s="12"/>
      <c r="B355" s="767"/>
      <c r="C355" s="1143"/>
      <c r="D355" s="764"/>
      <c r="E355" s="764"/>
      <c r="F355" s="1146"/>
      <c r="G355" s="1146"/>
      <c r="H355" s="18"/>
    </row>
    <row r="356" spans="1:8" ht="15.6">
      <c r="A356" s="12"/>
      <c r="B356" s="1142" t="s">
        <v>2069</v>
      </c>
      <c r="C356" s="1143">
        <v>1</v>
      </c>
      <c r="D356" s="764" t="s">
        <v>893</v>
      </c>
      <c r="E356" s="764" t="s">
        <v>421</v>
      </c>
      <c r="F356" s="1146">
        <v>800000</v>
      </c>
      <c r="G356" s="1146">
        <f>C356*F356</f>
        <v>800000</v>
      </c>
      <c r="H356" s="18"/>
    </row>
    <row r="357" spans="1:8" ht="15.6">
      <c r="A357" s="12"/>
      <c r="B357" s="1142" t="s">
        <v>1084</v>
      </c>
      <c r="C357" s="1143"/>
      <c r="D357" s="764"/>
      <c r="E357" s="764"/>
      <c r="F357" s="1146"/>
      <c r="G357" s="1146"/>
      <c r="H357" s="18"/>
    </row>
    <row r="358" spans="1:8" ht="15.6">
      <c r="A358" s="12"/>
      <c r="B358" s="1142" t="s">
        <v>1089</v>
      </c>
      <c r="C358" s="1143"/>
      <c r="D358" s="764"/>
      <c r="E358" s="764"/>
      <c r="F358" s="1146"/>
      <c r="G358" s="1146"/>
      <c r="H358" s="18"/>
    </row>
    <row r="359" spans="1:8" ht="15.6">
      <c r="A359" s="12"/>
      <c r="B359" s="1142" t="s">
        <v>1085</v>
      </c>
      <c r="C359" s="1143"/>
      <c r="D359" s="764"/>
      <c r="E359" s="764"/>
      <c r="F359" s="1146"/>
      <c r="G359" s="1146"/>
      <c r="H359" s="18"/>
    </row>
    <row r="360" spans="1:8" ht="15.6">
      <c r="A360" s="12"/>
      <c r="B360" s="1142"/>
      <c r="C360" s="1143"/>
      <c r="D360" s="764"/>
      <c r="E360" s="764"/>
      <c r="F360" s="1146"/>
      <c r="G360" s="1146"/>
      <c r="H360" s="18"/>
    </row>
    <row r="361" spans="1:8" ht="15.6">
      <c r="A361" s="12"/>
      <c r="B361" s="1142" t="s">
        <v>2160</v>
      </c>
      <c r="C361" s="1143">
        <v>1</v>
      </c>
      <c r="D361" s="764" t="s">
        <v>1774</v>
      </c>
      <c r="E361" s="764" t="s">
        <v>408</v>
      </c>
      <c r="F361" s="1146">
        <v>135000</v>
      </c>
      <c r="G361" s="1146">
        <f>C361*F361</f>
        <v>135000</v>
      </c>
      <c r="H361" s="18"/>
    </row>
    <row r="362" spans="1:8" ht="15.6">
      <c r="A362" s="12"/>
      <c r="B362" s="1142"/>
      <c r="C362" s="1143"/>
      <c r="D362" s="764"/>
      <c r="E362" s="764"/>
      <c r="F362" s="1146"/>
      <c r="G362" s="1146"/>
      <c r="H362" s="18"/>
    </row>
    <row r="363" spans="1:8" ht="15.6">
      <c r="A363" s="12"/>
      <c r="B363" s="580"/>
      <c r="C363" s="1145"/>
      <c r="D363" s="15"/>
      <c r="E363" s="15"/>
      <c r="F363" s="19"/>
      <c r="G363" s="1146"/>
      <c r="H363" s="18"/>
    </row>
    <row r="364" spans="1:8" ht="15.6">
      <c r="A364" s="603"/>
      <c r="B364" s="612"/>
      <c r="C364" s="613"/>
      <c r="D364" s="615"/>
      <c r="E364" s="615"/>
      <c r="F364" s="631"/>
      <c r="G364" s="632"/>
      <c r="H364" s="18"/>
    </row>
    <row r="365" spans="1:8" ht="15.6">
      <c r="A365" s="619"/>
      <c r="B365" s="34"/>
      <c r="C365" s="621"/>
      <c r="D365" s="36"/>
      <c r="E365" s="36"/>
      <c r="F365" s="37" t="s">
        <v>25</v>
      </c>
      <c r="G365" s="20">
        <f>SUM(G352:G364)</f>
        <v>1935000</v>
      </c>
      <c r="H365" s="18"/>
    </row>
    <row r="366" spans="1:8" ht="15.6">
      <c r="A366" s="619"/>
      <c r="B366" s="34"/>
      <c r="C366" s="621"/>
      <c r="D366" s="36"/>
      <c r="E366" s="36"/>
      <c r="F366" s="630" t="s">
        <v>26</v>
      </c>
      <c r="G366" s="20"/>
      <c r="H366" s="18"/>
    </row>
    <row r="367" spans="1:8" ht="15.6">
      <c r="A367" s="625"/>
      <c r="B367" s="626"/>
      <c r="C367" s="627"/>
      <c r="D367" s="628"/>
      <c r="E367" s="628"/>
      <c r="F367" s="629"/>
      <c r="G367" s="612"/>
      <c r="H367" s="618">
        <f>SUM(G365:G366)</f>
        <v>1935000</v>
      </c>
    </row>
    <row r="368" spans="1:8" ht="16.2" thickBot="1">
      <c r="A368" s="619"/>
      <c r="B368" s="620"/>
      <c r="C368" s="621"/>
      <c r="D368" s="36"/>
      <c r="E368" s="36"/>
      <c r="F368" s="622"/>
      <c r="G368" s="623"/>
      <c r="H368" s="26"/>
    </row>
    <row r="369" spans="1:8" ht="15.6">
      <c r="A369" s="27"/>
      <c r="B369" s="28"/>
      <c r="C369" s="29"/>
      <c r="D369" s="30"/>
      <c r="E369" s="30"/>
      <c r="F369" s="30"/>
      <c r="G369" s="43" t="s">
        <v>28</v>
      </c>
      <c r="H369" s="32">
        <f>SUM(H349:H367)</f>
        <v>1970000</v>
      </c>
    </row>
    <row r="370" spans="1:8" ht="16.2" thickBot="1">
      <c r="A370" s="609"/>
      <c r="B370" s="606"/>
      <c r="C370" s="610"/>
      <c r="D370" s="610"/>
      <c r="E370" s="607"/>
      <c r="F370" s="608"/>
      <c r="G370" s="47" t="s">
        <v>30</v>
      </c>
      <c r="H370" s="48">
        <f>ROUND(H369,-3)</f>
        <v>1970000</v>
      </c>
    </row>
    <row r="371" spans="1:8" ht="15.6">
      <c r="A371" s="49"/>
      <c r="B371" s="49"/>
      <c r="C371" s="49"/>
      <c r="D371" s="49"/>
      <c r="E371" s="49"/>
      <c r="F371" s="49"/>
      <c r="G371" s="49"/>
      <c r="H371" s="50"/>
    </row>
    <row r="372" spans="1:8" ht="18">
      <c r="A372" s="633" t="s">
        <v>549</v>
      </c>
      <c r="B372" s="49"/>
      <c r="C372" s="49"/>
      <c r="D372" s="49"/>
      <c r="E372" s="49"/>
      <c r="F372" s="49"/>
      <c r="G372" s="49"/>
      <c r="H372" s="50"/>
    </row>
    <row r="373" spans="1:8" ht="18">
      <c r="A373" s="51"/>
      <c r="B373" s="957" t="s">
        <v>2181</v>
      </c>
      <c r="C373" s="51"/>
      <c r="D373" s="51"/>
      <c r="E373" s="51"/>
      <c r="F373" s="51"/>
      <c r="G373" s="604"/>
      <c r="H373" s="602"/>
    </row>
    <row r="374" spans="1:8" ht="18">
      <c r="A374" s="51"/>
      <c r="B374" s="51"/>
      <c r="C374" s="51"/>
      <c r="D374" s="51"/>
      <c r="E374" s="51"/>
      <c r="F374" s="51"/>
      <c r="G374" s="1530" t="s">
        <v>2180</v>
      </c>
      <c r="H374" s="1530"/>
    </row>
    <row r="375" spans="1:8" ht="18">
      <c r="A375" s="1530" t="s">
        <v>31</v>
      </c>
      <c r="B375" s="1530"/>
      <c r="C375" s="1530" t="s">
        <v>914</v>
      </c>
      <c r="D375" s="1530"/>
      <c r="E375" s="1530"/>
      <c r="F375" s="958"/>
      <c r="G375" s="1530" t="s">
        <v>33</v>
      </c>
      <c r="H375" s="1530"/>
    </row>
    <row r="376" spans="1:8" ht="18">
      <c r="A376" s="958"/>
      <c r="B376" s="958"/>
      <c r="C376" s="958"/>
      <c r="D376" s="958"/>
      <c r="E376" s="958"/>
      <c r="F376" s="958"/>
      <c r="G376" s="958"/>
      <c r="H376" s="958"/>
    </row>
    <row r="377" spans="1:8" ht="18">
      <c r="A377" s="958"/>
      <c r="B377" s="958"/>
      <c r="C377" s="958"/>
      <c r="D377" s="958"/>
      <c r="E377" s="958"/>
      <c r="F377" s="958"/>
      <c r="G377" s="958"/>
      <c r="H377" s="958"/>
    </row>
    <row r="378" spans="1:8" ht="18">
      <c r="A378" s="958"/>
      <c r="B378" s="958"/>
      <c r="C378" s="958"/>
      <c r="D378" s="958"/>
      <c r="E378" s="958"/>
      <c r="F378" s="958"/>
      <c r="G378" s="958"/>
      <c r="H378" s="958"/>
    </row>
    <row r="379" spans="1:8" ht="18">
      <c r="A379" s="1529" t="s">
        <v>1622</v>
      </c>
      <c r="B379" s="1529"/>
      <c r="C379" s="1529" t="s">
        <v>1603</v>
      </c>
      <c r="D379" s="1529"/>
      <c r="E379" s="1529"/>
      <c r="F379" s="958"/>
      <c r="G379" s="1529" t="s">
        <v>1778</v>
      </c>
      <c r="H379" s="1529"/>
    </row>
    <row r="380" spans="1:8" ht="18.75" customHeight="1">
      <c r="A380" s="1530" t="s">
        <v>37</v>
      </c>
      <c r="B380" s="1530"/>
      <c r="C380" s="1530" t="s">
        <v>1867</v>
      </c>
      <c r="D380" s="1530"/>
      <c r="E380" s="1530"/>
      <c r="F380" s="958"/>
      <c r="G380" s="1530" t="s">
        <v>39</v>
      </c>
      <c r="H380" s="1530"/>
    </row>
    <row r="381" spans="1:8" ht="15.75" customHeight="1">
      <c r="A381" s="5"/>
      <c r="B381" s="5"/>
      <c r="C381" s="5"/>
      <c r="D381" s="5"/>
      <c r="E381" s="5"/>
      <c r="F381" s="6"/>
      <c r="G381" s="5"/>
      <c r="H381" s="5"/>
    </row>
    <row r="388" spans="1:8" ht="33.6">
      <c r="A388" s="597"/>
      <c r="B388" s="597"/>
      <c r="C388" s="1524" t="s">
        <v>235</v>
      </c>
      <c r="D388" s="1524"/>
      <c r="E388" s="1524"/>
      <c r="F388" s="1524"/>
      <c r="G388" s="1524"/>
      <c r="H388" s="1524"/>
    </row>
    <row r="389" spans="1:8" ht="28.8">
      <c r="A389" s="597"/>
      <c r="B389" s="597"/>
      <c r="C389" s="1525" t="s">
        <v>2075</v>
      </c>
      <c r="D389" s="1525"/>
      <c r="E389" s="1525"/>
      <c r="F389" s="1525"/>
      <c r="G389" s="1525"/>
      <c r="H389" s="1525"/>
    </row>
    <row r="390" spans="1:8" ht="25.8">
      <c r="A390" s="830"/>
      <c r="B390" s="830"/>
      <c r="C390" s="1526" t="s">
        <v>237</v>
      </c>
      <c r="D390" s="1526"/>
      <c r="E390" s="1526"/>
      <c r="F390" s="1526"/>
      <c r="G390" s="1526"/>
      <c r="H390" s="1526"/>
    </row>
    <row r="391" spans="1:8" ht="15.6">
      <c r="A391" s="769"/>
      <c r="B391" s="769"/>
      <c r="C391" s="769"/>
      <c r="D391" s="769"/>
      <c r="E391" s="769"/>
      <c r="F391" s="769"/>
      <c r="G391" s="769"/>
      <c r="H391" s="769"/>
    </row>
    <row r="392" spans="1:8" ht="15.6">
      <c r="A392" s="769"/>
      <c r="B392" s="769"/>
      <c r="C392" s="769"/>
      <c r="D392" s="769"/>
      <c r="E392" s="769"/>
      <c r="F392" s="769"/>
      <c r="G392" s="769"/>
      <c r="H392" s="769"/>
    </row>
    <row r="393" spans="1:8" ht="18">
      <c r="A393" s="1531" t="s">
        <v>3</v>
      </c>
      <c r="B393" s="1531" t="s">
        <v>4</v>
      </c>
      <c r="C393" s="1531" t="s">
        <v>5</v>
      </c>
      <c r="D393" s="1531" t="s">
        <v>6</v>
      </c>
      <c r="E393" s="1531" t="s">
        <v>7</v>
      </c>
      <c r="F393" s="1001" t="s">
        <v>8</v>
      </c>
      <c r="G393" s="1001" t="s">
        <v>9</v>
      </c>
      <c r="H393" s="1001" t="s">
        <v>10</v>
      </c>
    </row>
    <row r="394" spans="1:8" ht="18">
      <c r="A394" s="1532"/>
      <c r="B394" s="1532"/>
      <c r="C394" s="1532"/>
      <c r="D394" s="1532"/>
      <c r="E394" s="1532"/>
      <c r="F394" s="1002" t="s">
        <v>11</v>
      </c>
      <c r="G394" s="1002" t="s">
        <v>11</v>
      </c>
      <c r="H394" s="1002" t="s">
        <v>11</v>
      </c>
    </row>
    <row r="395" spans="1:8" ht="18">
      <c r="A395" s="1001" t="s">
        <v>12</v>
      </c>
      <c r="B395" s="1003" t="s">
        <v>364</v>
      </c>
      <c r="C395" s="1004"/>
      <c r="D395" s="1005"/>
      <c r="E395" s="1005"/>
      <c r="F395" s="1005"/>
      <c r="G395" s="1006"/>
      <c r="H395" s="1057"/>
    </row>
    <row r="396" spans="1:8" ht="18">
      <c r="A396" s="1008"/>
      <c r="B396" s="1009" t="s">
        <v>2074</v>
      </c>
      <c r="C396" s="1010">
        <v>1</v>
      </c>
      <c r="D396" s="1011" t="s">
        <v>15</v>
      </c>
      <c r="E396" s="1011" t="s">
        <v>197</v>
      </c>
      <c r="F396" s="1012" t="s">
        <v>126</v>
      </c>
      <c r="G396" s="1012" t="s">
        <v>126</v>
      </c>
      <c r="H396" s="1058"/>
    </row>
    <row r="397" spans="1:8" ht="18">
      <c r="A397" s="1008"/>
      <c r="B397" s="1009" t="s">
        <v>2076</v>
      </c>
      <c r="C397" s="1010">
        <v>1</v>
      </c>
      <c r="D397" s="1011" t="s">
        <v>15</v>
      </c>
      <c r="E397" s="1011" t="s">
        <v>197</v>
      </c>
      <c r="F397" s="1012" t="s">
        <v>126</v>
      </c>
      <c r="G397" s="1012" t="s">
        <v>126</v>
      </c>
      <c r="H397" s="1058"/>
    </row>
    <row r="398" spans="1:8" ht="18">
      <c r="A398" s="1013"/>
      <c r="B398" s="1014"/>
      <c r="C398" s="1015"/>
      <c r="D398" s="1016"/>
      <c r="E398" s="1016"/>
      <c r="F398" s="1017"/>
      <c r="G398" s="1017"/>
      <c r="H398" s="1135">
        <f>SUM(G395:G398)</f>
        <v>0</v>
      </c>
    </row>
    <row r="399" spans="1:8" ht="18">
      <c r="A399" s="1008" t="s">
        <v>18</v>
      </c>
      <c r="B399" s="1019" t="s">
        <v>19</v>
      </c>
      <c r="C399" s="1020"/>
      <c r="D399" s="1011"/>
      <c r="E399" s="1011"/>
      <c r="F399" s="1136"/>
      <c r="G399" s="1136"/>
      <c r="H399" s="1137"/>
    </row>
    <row r="400" spans="1:8" ht="18">
      <c r="A400" s="1023"/>
      <c r="B400" s="1009" t="s">
        <v>2072</v>
      </c>
      <c r="C400" s="1010">
        <v>1</v>
      </c>
      <c r="D400" s="1011" t="s">
        <v>2003</v>
      </c>
      <c r="E400" s="1011" t="s">
        <v>51</v>
      </c>
      <c r="F400" s="1022">
        <v>135000</v>
      </c>
      <c r="G400" s="1022">
        <f>F400*C400*2</f>
        <v>270000</v>
      </c>
      <c r="H400" s="1007"/>
    </row>
    <row r="401" spans="1:8" ht="18">
      <c r="A401" s="1023"/>
      <c r="B401" s="1009" t="s">
        <v>2073</v>
      </c>
      <c r="C401" s="1010">
        <v>2</v>
      </c>
      <c r="D401" s="1011" t="s">
        <v>2003</v>
      </c>
      <c r="E401" s="1011" t="s">
        <v>51</v>
      </c>
      <c r="F401" s="1022">
        <v>90000</v>
      </c>
      <c r="G401" s="1022">
        <f>F401*C401*2</f>
        <v>360000</v>
      </c>
      <c r="H401" s="1007"/>
    </row>
    <row r="402" spans="1:8" ht="18">
      <c r="A402" s="1023"/>
      <c r="B402" s="1024"/>
      <c r="C402" s="1022"/>
      <c r="D402" s="1011"/>
      <c r="E402" s="1011"/>
      <c r="F402" s="1022"/>
      <c r="G402" s="1022"/>
      <c r="H402" s="1056">
        <f>SUM(G400:G401)</f>
        <v>630000</v>
      </c>
    </row>
    <row r="403" spans="1:8" ht="18">
      <c r="A403" s="1025"/>
      <c r="B403" s="1026"/>
      <c r="C403" s="1027"/>
      <c r="D403" s="1028"/>
      <c r="E403" s="1029"/>
      <c r="F403" s="1029" t="s">
        <v>25</v>
      </c>
      <c r="G403" s="1030"/>
      <c r="H403" s="1018">
        <f>H402</f>
        <v>630000</v>
      </c>
    </row>
    <row r="404" spans="1:8" ht="18">
      <c r="A404" s="1031"/>
      <c r="B404" s="1032"/>
      <c r="C404" s="1033"/>
      <c r="D404" s="1033"/>
      <c r="E404" s="1034"/>
      <c r="F404" s="1035" t="s">
        <v>1151</v>
      </c>
      <c r="G404" s="1036"/>
      <c r="H404" s="1037"/>
    </row>
    <row r="405" spans="1:8" ht="18">
      <c r="A405" s="1038"/>
      <c r="B405" s="1039"/>
      <c r="C405" s="1040"/>
      <c r="D405" s="1040"/>
      <c r="E405" s="1041"/>
      <c r="F405" s="1042"/>
      <c r="G405" s="1043"/>
      <c r="H405" s="1044">
        <f>G403+G404</f>
        <v>0</v>
      </c>
    </row>
    <row r="406" spans="1:8" ht="18">
      <c r="A406" s="1047"/>
      <c r="B406" s="1048"/>
      <c r="C406" s="1048"/>
      <c r="D406" s="1048"/>
      <c r="E406" s="1048"/>
      <c r="F406" s="1049"/>
      <c r="G406" s="1050" t="s">
        <v>28</v>
      </c>
      <c r="H406" s="1006">
        <f>H403</f>
        <v>630000</v>
      </c>
    </row>
    <row r="407" spans="1:8" ht="18">
      <c r="A407" s="1051"/>
      <c r="B407" s="1052"/>
      <c r="C407" s="1053"/>
      <c r="D407" s="1053"/>
      <c r="E407" s="1053"/>
      <c r="F407" s="1054"/>
      <c r="G407" s="1055" t="s">
        <v>30</v>
      </c>
      <c r="H407" s="1056">
        <f>ROUND(H406,-3)</f>
        <v>630000</v>
      </c>
    </row>
    <row r="408" spans="1:8" ht="18">
      <c r="A408" s="1138"/>
      <c r="B408" s="1138"/>
      <c r="C408" s="1138"/>
      <c r="D408" s="1138"/>
      <c r="E408" s="1138"/>
      <c r="F408" s="1138"/>
      <c r="G408" s="1138"/>
      <c r="H408" s="1139"/>
    </row>
    <row r="409" spans="1:8" ht="18">
      <c r="A409" s="768" t="s">
        <v>1150</v>
      </c>
      <c r="B409" s="1138"/>
      <c r="C409" s="1138"/>
      <c r="D409" s="1138"/>
      <c r="E409" s="1138"/>
      <c r="F409" s="1138"/>
      <c r="G409" s="1138"/>
      <c r="H409" s="1139"/>
    </row>
    <row r="410" spans="1:8" ht="18">
      <c r="A410" s="1138"/>
      <c r="B410" s="965" t="s">
        <v>2078</v>
      </c>
      <c r="C410" s="1138"/>
      <c r="D410" s="1138"/>
      <c r="E410" s="1138"/>
      <c r="F410" s="1138"/>
      <c r="G410" s="1138"/>
      <c r="H410" s="1139"/>
    </row>
    <row r="411" spans="1:8" ht="18">
      <c r="A411" s="1138"/>
      <c r="B411" s="1138"/>
      <c r="C411" s="1138"/>
      <c r="D411" s="1138"/>
      <c r="E411" s="1138"/>
      <c r="F411" s="1138"/>
      <c r="G411" s="1138"/>
      <c r="H411" s="1139"/>
    </row>
    <row r="412" spans="1:8" ht="18">
      <c r="A412" s="958"/>
      <c r="B412" s="958"/>
      <c r="C412" s="958"/>
      <c r="D412" s="958"/>
      <c r="E412" s="958"/>
      <c r="F412" s="958"/>
      <c r="G412" s="1530" t="s">
        <v>2077</v>
      </c>
      <c r="H412" s="1530"/>
    </row>
    <row r="413" spans="1:8" ht="18">
      <c r="A413" s="1530" t="s">
        <v>31</v>
      </c>
      <c r="B413" s="1530"/>
      <c r="C413" s="1530" t="s">
        <v>32</v>
      </c>
      <c r="D413" s="1530"/>
      <c r="E413" s="1530"/>
      <c r="F413" s="958"/>
      <c r="G413" s="1530" t="s">
        <v>33</v>
      </c>
      <c r="H413" s="1530"/>
    </row>
    <row r="414" spans="1:8" ht="18">
      <c r="A414" s="958"/>
      <c r="B414" s="958"/>
      <c r="C414" s="958"/>
      <c r="D414" s="958"/>
      <c r="E414" s="958"/>
      <c r="F414" s="958"/>
      <c r="G414" s="958"/>
      <c r="H414" s="958"/>
    </row>
    <row r="415" spans="1:8" ht="18">
      <c r="A415" s="958"/>
      <c r="B415" s="958"/>
      <c r="C415" s="958"/>
      <c r="D415" s="958"/>
      <c r="E415" s="958"/>
      <c r="F415" s="958"/>
      <c r="G415" s="958"/>
      <c r="H415" s="958"/>
    </row>
    <row r="416" spans="1:8" ht="18">
      <c r="A416" s="958"/>
      <c r="B416" s="958"/>
      <c r="C416" s="958"/>
      <c r="D416" s="958"/>
      <c r="E416" s="958"/>
      <c r="F416" s="958"/>
      <c r="G416" s="958"/>
      <c r="H416" s="958"/>
    </row>
    <row r="417" spans="1:17" ht="18">
      <c r="A417" s="1529" t="s">
        <v>1622</v>
      </c>
      <c r="B417" s="1529"/>
      <c r="C417" s="1529" t="s">
        <v>1603</v>
      </c>
      <c r="D417" s="1529"/>
      <c r="E417" s="1529"/>
      <c r="F417" s="958"/>
      <c r="G417" s="1529" t="s">
        <v>1778</v>
      </c>
      <c r="H417" s="1529"/>
    </row>
    <row r="418" spans="1:17" ht="18">
      <c r="A418" s="1530" t="s">
        <v>37</v>
      </c>
      <c r="B418" s="1530"/>
      <c r="C418" s="1530" t="s">
        <v>1604</v>
      </c>
      <c r="D418" s="1530"/>
      <c r="E418" s="1530"/>
      <c r="F418" s="958"/>
      <c r="G418" s="1530" t="s">
        <v>39</v>
      </c>
      <c r="H418" s="1530"/>
    </row>
    <row r="423" spans="1:17" ht="15.6">
      <c r="A423" s="602"/>
      <c r="B423" s="602"/>
      <c r="C423" s="602"/>
      <c r="D423" s="602"/>
      <c r="E423" s="602"/>
      <c r="F423" s="51"/>
      <c r="G423" s="602"/>
      <c r="H423" s="602"/>
    </row>
    <row r="424" spans="1:17" ht="31.2">
      <c r="A424" s="597"/>
      <c r="B424" s="597"/>
      <c r="C424" s="1552" t="s">
        <v>235</v>
      </c>
      <c r="D424" s="1552"/>
      <c r="E424" s="1552"/>
      <c r="F424" s="1552"/>
      <c r="G424" s="1552"/>
      <c r="H424" s="1552"/>
    </row>
    <row r="425" spans="1:17" ht="28.8">
      <c r="A425" s="597"/>
      <c r="B425" s="597"/>
      <c r="C425" s="1525" t="s">
        <v>2063</v>
      </c>
      <c r="D425" s="1525"/>
      <c r="E425" s="1525"/>
      <c r="F425" s="1525"/>
      <c r="G425" s="1525"/>
      <c r="H425" s="1525"/>
    </row>
    <row r="426" spans="1:17" ht="25.8">
      <c r="A426" s="830"/>
      <c r="B426" s="830"/>
      <c r="C426" s="1525" t="s">
        <v>889</v>
      </c>
      <c r="D426" s="1525"/>
      <c r="E426" s="1525"/>
      <c r="F426" s="1525"/>
      <c r="G426" s="1525"/>
      <c r="H426" s="1525"/>
    </row>
    <row r="427" spans="1:17" ht="15.6">
      <c r="A427" s="769"/>
      <c r="B427" s="769"/>
      <c r="C427" s="769"/>
      <c r="D427" s="769"/>
      <c r="E427" s="769"/>
      <c r="F427" s="769"/>
      <c r="G427" s="769"/>
      <c r="H427" s="769"/>
    </row>
    <row r="428" spans="1:17" ht="25.8">
      <c r="A428" s="769"/>
      <c r="B428" s="769"/>
      <c r="C428" s="769"/>
      <c r="D428" s="769"/>
      <c r="E428" s="769"/>
      <c r="F428" s="769"/>
      <c r="G428" s="769"/>
      <c r="H428" s="769"/>
      <c r="J428" s="1553" t="s">
        <v>528</v>
      </c>
      <c r="K428" s="1553"/>
      <c r="L428" s="1553"/>
      <c r="M428" s="1553"/>
      <c r="N428" s="1553"/>
      <c r="O428" s="1553"/>
      <c r="P428" s="1553"/>
      <c r="Q428" s="1553"/>
    </row>
    <row r="429" spans="1:17" ht="25.8">
      <c r="A429" s="1531" t="s">
        <v>3</v>
      </c>
      <c r="B429" s="1531" t="s">
        <v>4</v>
      </c>
      <c r="C429" s="1531" t="s">
        <v>5</v>
      </c>
      <c r="D429" s="1531" t="s">
        <v>6</v>
      </c>
      <c r="E429" s="1531" t="s">
        <v>7</v>
      </c>
      <c r="F429" s="1001" t="s">
        <v>8</v>
      </c>
      <c r="G429" s="1001" t="s">
        <v>9</v>
      </c>
      <c r="H429" s="1001" t="s">
        <v>10</v>
      </c>
      <c r="J429" s="1553" t="s">
        <v>2060</v>
      </c>
      <c r="K429" s="1553"/>
      <c r="L429" s="1553"/>
      <c r="M429" s="1553"/>
      <c r="N429" s="1553"/>
      <c r="O429" s="1553"/>
      <c r="P429" s="1553"/>
      <c r="Q429" s="1553"/>
    </row>
    <row r="430" spans="1:17" ht="18">
      <c r="A430" s="1532"/>
      <c r="B430" s="1532"/>
      <c r="C430" s="1532"/>
      <c r="D430" s="1532"/>
      <c r="E430" s="1532"/>
      <c r="F430" s="1002" t="s">
        <v>11</v>
      </c>
      <c r="G430" s="1002" t="s">
        <v>11</v>
      </c>
      <c r="H430" s="1002" t="s">
        <v>11</v>
      </c>
    </row>
    <row r="431" spans="1:17" ht="18">
      <c r="A431" s="1008" t="s">
        <v>18</v>
      </c>
      <c r="B431" s="1019" t="s">
        <v>19</v>
      </c>
      <c r="C431" s="1020"/>
      <c r="D431" s="1011"/>
      <c r="E431" s="1011"/>
      <c r="F431" s="1021"/>
      <c r="G431" s="1022"/>
      <c r="H431" s="1007"/>
      <c r="J431" s="1218">
        <v>1</v>
      </c>
      <c r="K431" s="1140" t="s">
        <v>2046</v>
      </c>
      <c r="N431" s="1140" t="s">
        <v>555</v>
      </c>
      <c r="O431" s="1140" t="s">
        <v>2049</v>
      </c>
    </row>
    <row r="432" spans="1:17" ht="18">
      <c r="A432" s="1023"/>
      <c r="B432" s="1009" t="s">
        <v>2064</v>
      </c>
      <c r="C432" s="1010" t="s">
        <v>126</v>
      </c>
      <c r="D432" s="1011" t="s">
        <v>126</v>
      </c>
      <c r="E432" s="1011" t="s">
        <v>51</v>
      </c>
      <c r="F432" s="1022">
        <v>350000</v>
      </c>
      <c r="G432" s="1022">
        <f>F432</f>
        <v>350000</v>
      </c>
      <c r="H432" s="1007"/>
      <c r="K432" s="1140"/>
      <c r="N432" s="1140" t="s">
        <v>555</v>
      </c>
      <c r="O432" s="1140" t="s">
        <v>2047</v>
      </c>
    </row>
    <row r="433" spans="1:15" ht="18">
      <c r="A433" s="1023"/>
      <c r="B433" s="1009" t="s">
        <v>2065</v>
      </c>
      <c r="C433" s="1059">
        <v>6.18</v>
      </c>
      <c r="D433" s="1011" t="s">
        <v>2079</v>
      </c>
      <c r="E433" s="1011" t="s">
        <v>2081</v>
      </c>
      <c r="F433" s="1022">
        <v>940197</v>
      </c>
      <c r="G433" s="1022">
        <f>F433*C433</f>
        <v>5810417.46</v>
      </c>
      <c r="H433" s="1007"/>
      <c r="K433" s="1140"/>
      <c r="N433" s="1140" t="s">
        <v>555</v>
      </c>
      <c r="O433" s="1217">
        <v>66976.2</v>
      </c>
    </row>
    <row r="434" spans="1:15" ht="18">
      <c r="A434" s="1023"/>
      <c r="B434" s="1009" t="s">
        <v>2066</v>
      </c>
      <c r="C434" s="1059">
        <v>6.18</v>
      </c>
      <c r="D434" s="1011" t="s">
        <v>2079</v>
      </c>
      <c r="E434" s="1011" t="s">
        <v>2080</v>
      </c>
      <c r="F434" s="1022">
        <v>406510</v>
      </c>
      <c r="G434" s="1022">
        <f>F434*C434</f>
        <v>2512231.7999999998</v>
      </c>
      <c r="H434" s="1007"/>
      <c r="K434" s="1140"/>
    </row>
    <row r="435" spans="1:15" ht="18">
      <c r="A435" s="1023"/>
      <c r="B435" s="1009" t="s">
        <v>2084</v>
      </c>
      <c r="C435" s="1059">
        <v>1</v>
      </c>
      <c r="D435" s="1011" t="s">
        <v>21</v>
      </c>
      <c r="E435" s="1011" t="s">
        <v>51</v>
      </c>
      <c r="F435" s="1022">
        <v>300000</v>
      </c>
      <c r="G435" s="1022">
        <f>F435*C435*1</f>
        <v>300000</v>
      </c>
      <c r="H435" s="1007"/>
      <c r="J435" s="1218">
        <v>2</v>
      </c>
      <c r="K435" s="1140" t="s">
        <v>2048</v>
      </c>
      <c r="N435" s="1140" t="s">
        <v>555</v>
      </c>
      <c r="O435" s="1140" t="s">
        <v>2050</v>
      </c>
    </row>
    <row r="436" spans="1:15" ht="18">
      <c r="A436" s="1038"/>
      <c r="B436" s="1013"/>
      <c r="C436" s="1015"/>
      <c r="D436" s="1015"/>
      <c r="E436" s="1016"/>
      <c r="F436" s="1042"/>
      <c r="G436" s="1043"/>
      <c r="H436" s="1044">
        <f>SUM(G432:G435)</f>
        <v>8972649.2599999998</v>
      </c>
      <c r="K436" s="1140"/>
      <c r="N436" s="1140" t="s">
        <v>555</v>
      </c>
      <c r="O436" s="1140" t="s">
        <v>2051</v>
      </c>
    </row>
    <row r="437" spans="1:15" ht="18">
      <c r="A437" s="1031"/>
      <c r="B437" s="1032"/>
      <c r="C437" s="1033"/>
      <c r="D437" s="1033"/>
      <c r="E437" s="1034"/>
      <c r="F437" s="1035"/>
      <c r="G437" s="1045" t="s">
        <v>2067</v>
      </c>
      <c r="H437" s="1046">
        <f>H436</f>
        <v>8972649.2599999998</v>
      </c>
      <c r="K437" s="1140"/>
      <c r="N437" s="1140" t="s">
        <v>555</v>
      </c>
      <c r="O437" s="1216" t="s">
        <v>2052</v>
      </c>
    </row>
    <row r="438" spans="1:15" ht="18">
      <c r="A438" s="1031"/>
      <c r="B438" s="1032"/>
      <c r="C438" s="1033"/>
      <c r="D438" s="1033"/>
      <c r="E438" s="1034"/>
      <c r="F438" s="1035"/>
      <c r="G438" s="1045" t="s">
        <v>460</v>
      </c>
      <c r="H438" s="1046">
        <f>H437/10</f>
        <v>897264.92599999998</v>
      </c>
    </row>
    <row r="439" spans="1:15" ht="18">
      <c r="A439" s="1047"/>
      <c r="B439" s="1048"/>
      <c r="C439" s="1048"/>
      <c r="D439" s="1048"/>
      <c r="E439" s="1048"/>
      <c r="F439" s="1049"/>
      <c r="G439" s="1050" t="s">
        <v>28</v>
      </c>
      <c r="H439" s="1006">
        <f>H437+H438</f>
        <v>9869914.1860000007</v>
      </c>
      <c r="J439" s="1218">
        <v>3</v>
      </c>
      <c r="K439" s="1140" t="s">
        <v>2053</v>
      </c>
      <c r="N439" s="1140" t="s">
        <v>555</v>
      </c>
      <c r="O439" s="1140" t="s">
        <v>2054</v>
      </c>
    </row>
    <row r="440" spans="1:15" ht="18">
      <c r="A440" s="1051"/>
      <c r="B440" s="1052"/>
      <c r="C440" s="1053"/>
      <c r="D440" s="1053"/>
      <c r="E440" s="1053"/>
      <c r="F440" s="1054"/>
      <c r="G440" s="1055" t="s">
        <v>30</v>
      </c>
      <c r="H440" s="1056">
        <f>ROUND(H439,-3)</f>
        <v>9870000</v>
      </c>
      <c r="N440" s="1140" t="s">
        <v>555</v>
      </c>
      <c r="O440" s="1140" t="s">
        <v>2055</v>
      </c>
    </row>
    <row r="441" spans="1:15" ht="18">
      <c r="A441" s="49"/>
      <c r="B441" s="49"/>
      <c r="C441" s="49"/>
      <c r="D441" s="49"/>
      <c r="E441" s="49"/>
      <c r="F441" s="49"/>
      <c r="G441" s="49"/>
      <c r="H441" s="50"/>
      <c r="N441" s="1140" t="s">
        <v>555</v>
      </c>
      <c r="O441" s="1219" t="s">
        <v>2056</v>
      </c>
    </row>
    <row r="442" spans="1:15" ht="18">
      <c r="A442" s="768" t="s">
        <v>1150</v>
      </c>
      <c r="B442" s="49"/>
      <c r="C442" s="49"/>
      <c r="D442" s="49"/>
      <c r="E442" s="49"/>
      <c r="F442" s="49"/>
      <c r="G442" s="49"/>
      <c r="H442" s="50"/>
    </row>
    <row r="443" spans="1:15" ht="17.399999999999999">
      <c r="A443" s="49"/>
      <c r="B443" s="965" t="s">
        <v>2083</v>
      </c>
      <c r="C443" s="49"/>
      <c r="D443" s="49"/>
      <c r="E443" s="49"/>
      <c r="F443" s="49"/>
      <c r="G443" s="49"/>
      <c r="H443" s="50"/>
    </row>
    <row r="444" spans="1:15" ht="18">
      <c r="A444" s="49"/>
      <c r="B444" s="49"/>
      <c r="C444" s="49"/>
      <c r="D444" s="49"/>
      <c r="E444" s="49"/>
      <c r="F444" s="49"/>
      <c r="G444" s="49"/>
      <c r="H444" s="50"/>
      <c r="M444" s="1220" t="s">
        <v>2058</v>
      </c>
      <c r="N444" s="1140" t="s">
        <v>555</v>
      </c>
      <c r="O444" s="1216" t="s">
        <v>2059</v>
      </c>
    </row>
    <row r="445" spans="1:15" ht="21">
      <c r="A445" s="51"/>
      <c r="B445" s="51"/>
      <c r="C445" s="51"/>
      <c r="D445" s="51"/>
      <c r="E445" s="51"/>
      <c r="F445" s="51"/>
      <c r="G445" s="1530" t="s">
        <v>2082</v>
      </c>
      <c r="H445" s="1530"/>
      <c r="O445" s="1141">
        <f>11436.25+5645.28+66976.2</f>
        <v>84057.73</v>
      </c>
    </row>
    <row r="446" spans="1:15" ht="18">
      <c r="A446" s="1530" t="s">
        <v>31</v>
      </c>
      <c r="B446" s="1530"/>
      <c r="C446" s="1530" t="s">
        <v>32</v>
      </c>
      <c r="D446" s="1530"/>
      <c r="E446" s="1530"/>
      <c r="F446" s="958"/>
      <c r="G446" s="1530" t="s">
        <v>33</v>
      </c>
      <c r="H446" s="1530"/>
    </row>
    <row r="447" spans="1:15" ht="18">
      <c r="A447" s="958"/>
      <c r="B447" s="958"/>
      <c r="C447" s="958"/>
      <c r="D447" s="958"/>
      <c r="E447" s="958"/>
      <c r="F447" s="958"/>
      <c r="G447" s="958"/>
      <c r="H447" s="958"/>
    </row>
    <row r="448" spans="1:15" ht="18">
      <c r="A448" s="958"/>
      <c r="B448" s="958"/>
      <c r="C448" s="958"/>
      <c r="D448" s="958"/>
      <c r="E448" s="958"/>
      <c r="F448" s="958"/>
      <c r="G448" s="958"/>
      <c r="H448" s="958"/>
    </row>
    <row r="449" spans="1:8" ht="18">
      <c r="A449" s="958"/>
      <c r="B449" s="958"/>
      <c r="C449" s="958"/>
      <c r="D449" s="958"/>
      <c r="E449" s="958"/>
      <c r="F449" s="958"/>
      <c r="G449" s="958"/>
      <c r="H449" s="958"/>
    </row>
    <row r="450" spans="1:8" ht="18">
      <c r="A450" s="1529" t="s">
        <v>1622</v>
      </c>
      <c r="B450" s="1529"/>
      <c r="C450" s="1529" t="s">
        <v>1603</v>
      </c>
      <c r="D450" s="1529"/>
      <c r="E450" s="1529"/>
      <c r="F450" s="958"/>
      <c r="G450" s="1529" t="s">
        <v>1778</v>
      </c>
      <c r="H450" s="1529"/>
    </row>
    <row r="451" spans="1:8" ht="18">
      <c r="A451" s="1530" t="s">
        <v>37</v>
      </c>
      <c r="B451" s="1530"/>
      <c r="C451" s="1530" t="s">
        <v>1604</v>
      </c>
      <c r="D451" s="1530"/>
      <c r="E451" s="1530"/>
      <c r="F451" s="958"/>
      <c r="G451" s="1530" t="s">
        <v>39</v>
      </c>
      <c r="H451" s="1530"/>
    </row>
    <row r="453" spans="1:8" ht="15.6">
      <c r="A453" s="602"/>
      <c r="B453" s="602"/>
      <c r="C453" s="602"/>
      <c r="D453" s="602"/>
      <c r="E453" s="602"/>
      <c r="F453" s="51"/>
      <c r="G453" s="602"/>
      <c r="H453" s="602"/>
    </row>
    <row r="454" spans="1:8" ht="31.2">
      <c r="A454" s="597"/>
      <c r="B454" s="597"/>
      <c r="C454" s="1552" t="s">
        <v>235</v>
      </c>
      <c r="D454" s="1552"/>
      <c r="E454" s="1552"/>
      <c r="F454" s="1552"/>
      <c r="G454" s="1552"/>
      <c r="H454" s="1552"/>
    </row>
    <row r="455" spans="1:8" ht="28.8">
      <c r="A455" s="597"/>
      <c r="B455" s="597"/>
      <c r="C455" s="1525" t="s">
        <v>1763</v>
      </c>
      <c r="D455" s="1525"/>
      <c r="E455" s="1525"/>
      <c r="F455" s="1525"/>
      <c r="G455" s="1525"/>
      <c r="H455" s="1525"/>
    </row>
    <row r="456" spans="1:8" ht="48.75" customHeight="1">
      <c r="A456" s="830"/>
      <c r="B456" s="830"/>
      <c r="C456" s="1525" t="s">
        <v>2061</v>
      </c>
      <c r="D456" s="1525"/>
      <c r="E456" s="1525"/>
      <c r="F456" s="1525"/>
      <c r="G456" s="1525"/>
      <c r="H456" s="1525"/>
    </row>
    <row r="457" spans="1:8" ht="15.6">
      <c r="A457" s="769"/>
      <c r="B457" s="769"/>
      <c r="C457" s="769"/>
      <c r="D457" s="769"/>
      <c r="E457" s="769"/>
      <c r="F457" s="769"/>
      <c r="G457" s="769"/>
      <c r="H457" s="769"/>
    </row>
    <row r="458" spans="1:8" ht="15.6">
      <c r="A458" s="769"/>
      <c r="B458" s="769"/>
      <c r="C458" s="769"/>
      <c r="D458" s="769"/>
      <c r="E458" s="769"/>
      <c r="F458" s="769"/>
      <c r="G458" s="769"/>
      <c r="H458" s="769"/>
    </row>
    <row r="459" spans="1:8" ht="21">
      <c r="A459" s="1542" t="s">
        <v>3</v>
      </c>
      <c r="B459" s="1542" t="s">
        <v>4</v>
      </c>
      <c r="C459" s="1542" t="s">
        <v>5</v>
      </c>
      <c r="D459" s="1542" t="s">
        <v>6</v>
      </c>
      <c r="E459" s="1542" t="s">
        <v>7</v>
      </c>
      <c r="F459" s="1284" t="s">
        <v>8</v>
      </c>
      <c r="G459" s="1284" t="s">
        <v>9</v>
      </c>
      <c r="H459" s="1284" t="s">
        <v>10</v>
      </c>
    </row>
    <row r="460" spans="1:8" ht="21">
      <c r="A460" s="1543"/>
      <c r="B460" s="1543"/>
      <c r="C460" s="1543"/>
      <c r="D460" s="1543"/>
      <c r="E460" s="1543"/>
      <c r="F460" s="1285" t="s">
        <v>11</v>
      </c>
      <c r="G460" s="1285" t="s">
        <v>11</v>
      </c>
      <c r="H460" s="1285" t="s">
        <v>11</v>
      </c>
    </row>
    <row r="461" spans="1:8" ht="21">
      <c r="A461" s="1284" t="s">
        <v>12</v>
      </c>
      <c r="B461" s="1286" t="s">
        <v>364</v>
      </c>
      <c r="C461" s="1287"/>
      <c r="D461" s="1288"/>
      <c r="E461" s="1288"/>
      <c r="F461" s="1288"/>
      <c r="G461" s="1289"/>
      <c r="H461" s="1303"/>
    </row>
    <row r="462" spans="1:8" ht="21">
      <c r="A462" s="1291"/>
      <c r="B462" s="1297" t="s">
        <v>1765</v>
      </c>
      <c r="C462" s="1293">
        <v>6</v>
      </c>
      <c r="D462" s="1294" t="s">
        <v>44</v>
      </c>
      <c r="E462" s="1294" t="s">
        <v>16</v>
      </c>
      <c r="F462" s="1302">
        <v>20000</v>
      </c>
      <c r="G462" s="1295">
        <f t="shared" ref="G462:G468" si="0">C462*F462</f>
        <v>120000</v>
      </c>
      <c r="H462" s="1303"/>
    </row>
    <row r="463" spans="1:8" ht="21">
      <c r="A463" s="1291"/>
      <c r="B463" s="1297" t="s">
        <v>1766</v>
      </c>
      <c r="C463" s="1293">
        <v>3</v>
      </c>
      <c r="D463" s="1294" t="s">
        <v>44</v>
      </c>
      <c r="E463" s="1294" t="s">
        <v>16</v>
      </c>
      <c r="F463" s="1302">
        <v>15000</v>
      </c>
      <c r="G463" s="1295">
        <f t="shared" si="0"/>
        <v>45000</v>
      </c>
      <c r="H463" s="1303"/>
    </row>
    <row r="464" spans="1:8" ht="21">
      <c r="A464" s="1291"/>
      <c r="B464" s="1297" t="s">
        <v>2154</v>
      </c>
      <c r="C464" s="1293">
        <v>75</v>
      </c>
      <c r="D464" s="1294" t="s">
        <v>1772</v>
      </c>
      <c r="E464" s="1294" t="s">
        <v>16</v>
      </c>
      <c r="F464" s="1302">
        <v>65000</v>
      </c>
      <c r="G464" s="1295">
        <f t="shared" si="0"/>
        <v>4875000</v>
      </c>
      <c r="H464" s="1303"/>
    </row>
    <row r="465" spans="1:8" ht="21">
      <c r="A465" s="1291"/>
      <c r="B465" s="1297" t="s">
        <v>1771</v>
      </c>
      <c r="C465" s="1293">
        <v>30</v>
      </c>
      <c r="D465" s="1294" t="s">
        <v>1772</v>
      </c>
      <c r="E465" s="1294" t="s">
        <v>16</v>
      </c>
      <c r="F465" s="1302">
        <v>15000</v>
      </c>
      <c r="G465" s="1295">
        <f t="shared" si="0"/>
        <v>450000</v>
      </c>
      <c r="H465" s="1303"/>
    </row>
    <row r="466" spans="1:8" ht="21">
      <c r="A466" s="1291"/>
      <c r="B466" s="1297" t="s">
        <v>1768</v>
      </c>
      <c r="C466" s="1293">
        <v>6</v>
      </c>
      <c r="D466" s="1294" t="s">
        <v>44</v>
      </c>
      <c r="E466" s="1294" t="s">
        <v>16</v>
      </c>
      <c r="F466" s="1302">
        <v>15000</v>
      </c>
      <c r="G466" s="1295">
        <f t="shared" si="0"/>
        <v>90000</v>
      </c>
      <c r="H466" s="1303"/>
    </row>
    <row r="467" spans="1:8" ht="21">
      <c r="A467" s="1291"/>
      <c r="B467" s="1297" t="s">
        <v>1769</v>
      </c>
      <c r="C467" s="1293">
        <v>20</v>
      </c>
      <c r="D467" s="1294" t="s">
        <v>44</v>
      </c>
      <c r="E467" s="1294" t="s">
        <v>16</v>
      </c>
      <c r="F467" s="1302">
        <v>3000</v>
      </c>
      <c r="G467" s="1295">
        <f t="shared" si="0"/>
        <v>60000</v>
      </c>
      <c r="H467" s="1303"/>
    </row>
    <row r="468" spans="1:8" ht="21">
      <c r="A468" s="1291"/>
      <c r="B468" s="1297" t="s">
        <v>1770</v>
      </c>
      <c r="C468" s="1293">
        <v>6</v>
      </c>
      <c r="D468" s="1294" t="s">
        <v>44</v>
      </c>
      <c r="E468" s="1294" t="s">
        <v>16</v>
      </c>
      <c r="F468" s="1302">
        <v>8000</v>
      </c>
      <c r="G468" s="1295">
        <f t="shared" si="0"/>
        <v>48000</v>
      </c>
      <c r="H468" s="1303"/>
    </row>
    <row r="469" spans="1:8" ht="21">
      <c r="A469" s="1341"/>
      <c r="B469" s="1342"/>
      <c r="C469" s="1343"/>
      <c r="D469" s="1344"/>
      <c r="E469" s="1344"/>
      <c r="F469" s="1345"/>
      <c r="G469" s="1345"/>
      <c r="H469" s="1336">
        <f>SUM(G462:G468)</f>
        <v>5688000</v>
      </c>
    </row>
    <row r="470" spans="1:8" ht="20.100000000000001" customHeight="1">
      <c r="A470" s="1291" t="s">
        <v>18</v>
      </c>
      <c r="B470" s="1346" t="s">
        <v>19</v>
      </c>
      <c r="C470" s="1347"/>
      <c r="D470" s="1294"/>
      <c r="E470" s="1294"/>
      <c r="F470" s="1292"/>
      <c r="G470" s="1302"/>
      <c r="H470" s="1303"/>
    </row>
    <row r="471" spans="1:8" ht="20.100000000000001" customHeight="1">
      <c r="A471" s="1300"/>
      <c r="B471" s="1297" t="s">
        <v>2062</v>
      </c>
      <c r="C471" s="1293">
        <v>2</v>
      </c>
      <c r="D471" s="1294" t="s">
        <v>2003</v>
      </c>
      <c r="E471" s="1294" t="s">
        <v>82</v>
      </c>
      <c r="F471" s="1302">
        <v>135000</v>
      </c>
      <c r="G471" s="1302">
        <f>F471*C471*18</f>
        <v>4860000</v>
      </c>
      <c r="H471" s="1303"/>
    </row>
    <row r="472" spans="1:8" ht="20.100000000000001" customHeight="1">
      <c r="A472" s="1300"/>
      <c r="B472" s="1301"/>
      <c r="C472" s="1302"/>
      <c r="D472" s="1294"/>
      <c r="E472" s="1294"/>
      <c r="F472" s="1302"/>
      <c r="G472" s="1302"/>
      <c r="H472" s="1303"/>
    </row>
    <row r="473" spans="1:8" ht="20.100000000000001" customHeight="1">
      <c r="A473" s="1318"/>
      <c r="B473" s="1341"/>
      <c r="C473" s="1343"/>
      <c r="D473" s="1343"/>
      <c r="E473" s="1344"/>
      <c r="F473" s="1322"/>
      <c r="G473" s="1323"/>
      <c r="H473" s="1324">
        <f>G471</f>
        <v>4860000</v>
      </c>
    </row>
    <row r="474" spans="1:8" ht="20.100000000000001" customHeight="1">
      <c r="A474" s="1311"/>
      <c r="B474" s="1312"/>
      <c r="C474" s="1313"/>
      <c r="D474" s="1313"/>
      <c r="E474" s="1314"/>
      <c r="F474" s="1315"/>
      <c r="G474" s="1325"/>
      <c r="H474" s="1326"/>
    </row>
    <row r="475" spans="1:8" ht="20.100000000000001" customHeight="1">
      <c r="A475" s="1327"/>
      <c r="B475" s="1328"/>
      <c r="C475" s="1328"/>
      <c r="D475" s="1328"/>
      <c r="E475" s="1328"/>
      <c r="F475" s="1329"/>
      <c r="G475" s="1330" t="s">
        <v>28</v>
      </c>
      <c r="H475" s="1289">
        <f>H473+H469</f>
        <v>10548000</v>
      </c>
    </row>
    <row r="476" spans="1:8" ht="20.100000000000001" customHeight="1">
      <c r="A476" s="1331"/>
      <c r="B476" s="1332"/>
      <c r="C476" s="1333"/>
      <c r="D476" s="1333"/>
      <c r="E476" s="1333"/>
      <c r="F476" s="1334"/>
      <c r="G476" s="1335" t="s">
        <v>30</v>
      </c>
      <c r="H476" s="1336">
        <f>ROUND(H475,-3)</f>
        <v>10548000</v>
      </c>
    </row>
    <row r="477" spans="1:8" ht="20.100000000000001" customHeight="1">
      <c r="A477" s="1337"/>
      <c r="B477" s="1337"/>
      <c r="C477" s="1337"/>
      <c r="D477" s="1337"/>
      <c r="E477" s="1337"/>
      <c r="F477" s="1337"/>
      <c r="G477" s="1337"/>
      <c r="H477" s="1338"/>
    </row>
    <row r="478" spans="1:8" ht="20.100000000000001" customHeight="1">
      <c r="A478" s="1339" t="s">
        <v>1150</v>
      </c>
      <c r="B478" s="1337"/>
      <c r="C478" s="1337"/>
      <c r="D478" s="1337"/>
      <c r="E478" s="1337"/>
      <c r="F478" s="1337"/>
      <c r="G478" s="1337"/>
      <c r="H478" s="1338"/>
    </row>
    <row r="479" spans="1:8" ht="20.100000000000001" customHeight="1">
      <c r="A479" s="1337"/>
      <c r="B479" s="1340" t="s">
        <v>2161</v>
      </c>
      <c r="C479" s="1337"/>
      <c r="D479" s="1337"/>
      <c r="E479" s="1337"/>
      <c r="F479" s="1337"/>
      <c r="G479" s="1337"/>
      <c r="H479" s="1338"/>
    </row>
    <row r="480" spans="1:8" ht="20.100000000000001" customHeight="1">
      <c r="A480" s="1337"/>
      <c r="B480" s="1337"/>
      <c r="C480" s="1337"/>
      <c r="D480" s="1337"/>
      <c r="E480" s="1337"/>
      <c r="F480" s="1337"/>
      <c r="G480" s="1337"/>
      <c r="H480" s="1338"/>
    </row>
    <row r="481" spans="1:8" ht="20.100000000000001" customHeight="1">
      <c r="A481" s="1188"/>
      <c r="B481" s="1188"/>
      <c r="C481" s="1188"/>
      <c r="D481" s="1188"/>
      <c r="E481" s="1188"/>
      <c r="F481" s="1188"/>
      <c r="G481" s="1544" t="s">
        <v>2129</v>
      </c>
      <c r="H481" s="1544"/>
    </row>
    <row r="482" spans="1:8" ht="20.100000000000001" customHeight="1">
      <c r="A482" s="1544" t="s">
        <v>31</v>
      </c>
      <c r="B482" s="1544"/>
      <c r="C482" s="1544" t="s">
        <v>32</v>
      </c>
      <c r="D482" s="1544"/>
      <c r="E482" s="1544"/>
      <c r="F482" s="1188"/>
      <c r="G482" s="1544" t="s">
        <v>33</v>
      </c>
      <c r="H482" s="1544"/>
    </row>
    <row r="483" spans="1:8" ht="20.100000000000001" customHeight="1">
      <c r="A483" s="1188"/>
      <c r="B483" s="1188"/>
      <c r="C483" s="1188"/>
      <c r="D483" s="1188"/>
      <c r="E483" s="1188"/>
      <c r="F483" s="1188"/>
      <c r="G483" s="1188"/>
      <c r="H483" s="1188"/>
    </row>
    <row r="484" spans="1:8" ht="20.100000000000001" customHeight="1">
      <c r="A484" s="1188"/>
      <c r="B484" s="1188"/>
      <c r="C484" s="1188"/>
      <c r="D484" s="1188"/>
      <c r="E484" s="1188"/>
      <c r="F484" s="1188"/>
      <c r="G484" s="1188"/>
      <c r="H484" s="1188"/>
    </row>
    <row r="485" spans="1:8" ht="20.100000000000001" customHeight="1">
      <c r="A485" s="1188"/>
      <c r="B485" s="1188"/>
      <c r="C485" s="1188"/>
      <c r="D485" s="1188"/>
      <c r="E485" s="1188"/>
      <c r="F485" s="1188"/>
      <c r="G485" s="1188"/>
      <c r="H485" s="1188"/>
    </row>
    <row r="486" spans="1:8" ht="20.100000000000001" customHeight="1">
      <c r="A486" s="1549" t="s">
        <v>1622</v>
      </c>
      <c r="B486" s="1549"/>
      <c r="C486" s="1549" t="s">
        <v>1603</v>
      </c>
      <c r="D486" s="1549"/>
      <c r="E486" s="1549"/>
      <c r="F486" s="1188"/>
      <c r="G486" s="1549" t="s">
        <v>1778</v>
      </c>
      <c r="H486" s="1549"/>
    </row>
    <row r="487" spans="1:8" ht="20.100000000000001" customHeight="1">
      <c r="A487" s="1544" t="s">
        <v>37</v>
      </c>
      <c r="B487" s="1544"/>
      <c r="C487" s="1544" t="s">
        <v>1604</v>
      </c>
      <c r="D487" s="1544"/>
      <c r="E487" s="1544"/>
      <c r="F487" s="1188"/>
      <c r="G487" s="1544" t="s">
        <v>39</v>
      </c>
      <c r="H487" s="1544"/>
    </row>
    <row r="488" spans="1:8" ht="20.100000000000001" customHeight="1">
      <c r="A488" s="1141"/>
      <c r="B488" s="1141"/>
      <c r="C488" s="1141"/>
      <c r="D488" s="1141"/>
      <c r="E488" s="1141"/>
      <c r="F488" s="1141"/>
      <c r="G488" s="1141"/>
      <c r="H488" s="1141"/>
    </row>
    <row r="489" spans="1:8" ht="20.100000000000001" customHeight="1"/>
    <row r="490" spans="1:8" ht="20.100000000000001" customHeight="1"/>
    <row r="491" spans="1:8" ht="20.100000000000001" customHeight="1"/>
    <row r="492" spans="1:8" ht="20.100000000000001" customHeight="1"/>
    <row r="493" spans="1:8" ht="20.100000000000001" customHeight="1"/>
    <row r="494" spans="1:8" ht="20.100000000000001" customHeight="1"/>
    <row r="495" spans="1:8" ht="20.100000000000001" customHeight="1"/>
    <row r="496" spans="1:8" ht="20.100000000000001" customHeight="1"/>
    <row r="497" spans="1:8" ht="20.100000000000001" customHeight="1"/>
    <row r="498" spans="1:8" ht="20.100000000000001" customHeight="1"/>
    <row r="499" spans="1:8" ht="20.100000000000001" customHeight="1"/>
    <row r="500" spans="1:8" ht="20.100000000000001" customHeight="1"/>
    <row r="501" spans="1:8" ht="20.100000000000001" customHeight="1">
      <c r="A501" s="597"/>
      <c r="B501" s="597"/>
      <c r="C501" s="1524" t="s">
        <v>235</v>
      </c>
      <c r="D501" s="1524"/>
      <c r="E501" s="1524"/>
      <c r="F501" s="1524"/>
      <c r="G501" s="1524"/>
      <c r="H501" s="1524"/>
    </row>
    <row r="502" spans="1:8" ht="20.100000000000001" customHeight="1">
      <c r="A502" s="597"/>
      <c r="B502" s="597"/>
      <c r="C502" s="1525" t="s">
        <v>2037</v>
      </c>
      <c r="D502" s="1525"/>
      <c r="E502" s="1525"/>
      <c r="F502" s="1525"/>
      <c r="G502" s="1525"/>
      <c r="H502" s="1525"/>
    </row>
    <row r="503" spans="1:8" ht="20.100000000000001" customHeight="1">
      <c r="A503" s="830"/>
      <c r="B503" s="830"/>
      <c r="C503" s="1526" t="s">
        <v>1078</v>
      </c>
      <c r="D503" s="1526"/>
      <c r="E503" s="1526"/>
      <c r="F503" s="1526"/>
      <c r="G503" s="1526"/>
      <c r="H503" s="1526"/>
    </row>
    <row r="504" spans="1:8" ht="20.100000000000001" customHeight="1">
      <c r="A504" s="769"/>
      <c r="B504" s="769"/>
      <c r="C504" s="769"/>
      <c r="D504" s="769"/>
      <c r="E504" s="769"/>
      <c r="F504" s="769"/>
      <c r="G504" s="769"/>
      <c r="H504" s="769"/>
    </row>
    <row r="505" spans="1:8" ht="20.100000000000001" customHeight="1">
      <c r="A505" s="769"/>
      <c r="B505" s="769"/>
      <c r="C505" s="769"/>
      <c r="D505" s="769"/>
      <c r="E505" s="769"/>
      <c r="F505" s="769"/>
      <c r="G505" s="769"/>
      <c r="H505" s="769"/>
    </row>
    <row r="506" spans="1:8" ht="20.100000000000001" customHeight="1">
      <c r="A506" s="1531" t="s">
        <v>3</v>
      </c>
      <c r="B506" s="1531" t="s">
        <v>4</v>
      </c>
      <c r="C506" s="1531" t="s">
        <v>5</v>
      </c>
      <c r="D506" s="1531" t="s">
        <v>6</v>
      </c>
      <c r="E506" s="1531" t="s">
        <v>7</v>
      </c>
      <c r="F506" s="1001" t="s">
        <v>8</v>
      </c>
      <c r="G506" s="1001" t="s">
        <v>9</v>
      </c>
      <c r="H506" s="1001" t="s">
        <v>10</v>
      </c>
    </row>
    <row r="507" spans="1:8" ht="18">
      <c r="A507" s="1532"/>
      <c r="B507" s="1532"/>
      <c r="C507" s="1532"/>
      <c r="D507" s="1532"/>
      <c r="E507" s="1532"/>
      <c r="F507" s="1002" t="s">
        <v>11</v>
      </c>
      <c r="G507" s="1002" t="s">
        <v>11</v>
      </c>
      <c r="H507" s="1002" t="s">
        <v>11</v>
      </c>
    </row>
    <row r="508" spans="1:8" ht="18">
      <c r="A508" s="1001" t="s">
        <v>12</v>
      </c>
      <c r="B508" s="1003" t="s">
        <v>364</v>
      </c>
      <c r="C508" s="1004"/>
      <c r="D508" s="1005"/>
      <c r="E508" s="1005"/>
      <c r="F508" s="1005"/>
      <c r="G508" s="1006"/>
      <c r="H508" s="1057"/>
    </row>
    <row r="509" spans="1:8" ht="18">
      <c r="A509" s="1008"/>
      <c r="B509" s="1009" t="s">
        <v>2038</v>
      </c>
      <c r="C509" s="1010">
        <v>2</v>
      </c>
      <c r="D509" s="1011" t="s">
        <v>15</v>
      </c>
      <c r="E509" s="1011" t="s">
        <v>51</v>
      </c>
      <c r="F509" s="1012">
        <v>254100</v>
      </c>
      <c r="G509" s="1012">
        <f>F509*C509</f>
        <v>508200</v>
      </c>
      <c r="H509" s="1058"/>
    </row>
    <row r="510" spans="1:8" ht="20.100000000000001" customHeight="1">
      <c r="A510" s="1008"/>
      <c r="B510" s="1009" t="s">
        <v>2039</v>
      </c>
      <c r="C510" s="1010">
        <v>1</v>
      </c>
      <c r="D510" s="1011" t="s">
        <v>15</v>
      </c>
      <c r="E510" s="1011" t="s">
        <v>51</v>
      </c>
      <c r="F510" s="1012">
        <v>1464000</v>
      </c>
      <c r="G510" s="1012">
        <f>F510*C510</f>
        <v>1464000</v>
      </c>
      <c r="H510" s="1058"/>
    </row>
    <row r="511" spans="1:8" ht="20.100000000000001" customHeight="1">
      <c r="A511" s="1008"/>
      <c r="B511" s="1009" t="s">
        <v>2040</v>
      </c>
      <c r="C511" s="1010">
        <v>1</v>
      </c>
      <c r="D511" s="1011" t="s">
        <v>47</v>
      </c>
      <c r="E511" s="1011" t="s">
        <v>51</v>
      </c>
      <c r="F511" s="1012">
        <v>600000</v>
      </c>
      <c r="G511" s="1012">
        <f>F511*C511</f>
        <v>600000</v>
      </c>
      <c r="H511" s="1058"/>
    </row>
    <row r="512" spans="1:8" ht="18">
      <c r="A512" s="1013"/>
      <c r="B512" s="1014"/>
      <c r="C512" s="1015"/>
      <c r="D512" s="1016"/>
      <c r="E512" s="1016"/>
      <c r="F512" s="1017"/>
      <c r="G512" s="1017"/>
      <c r="H512" s="1135">
        <f>SUM(G508:G512)</f>
        <v>2572200</v>
      </c>
    </row>
    <row r="513" spans="1:8" ht="18">
      <c r="A513" s="1008" t="s">
        <v>18</v>
      </c>
      <c r="B513" s="1019" t="s">
        <v>19</v>
      </c>
      <c r="C513" s="1020"/>
      <c r="D513" s="1011"/>
      <c r="E513" s="1011"/>
      <c r="F513" s="1136"/>
      <c r="G513" s="1136"/>
      <c r="H513" s="1137"/>
    </row>
    <row r="514" spans="1:8" ht="18">
      <c r="A514" s="1008">
        <v>1</v>
      </c>
      <c r="B514" s="1019" t="s">
        <v>2041</v>
      </c>
      <c r="C514" s="1020"/>
      <c r="D514" s="1011"/>
      <c r="E514" s="1011"/>
      <c r="F514" s="1021"/>
      <c r="G514" s="1022"/>
      <c r="H514" s="1007"/>
    </row>
    <row r="515" spans="1:8" ht="18">
      <c r="A515" s="1023"/>
      <c r="B515" s="1009" t="s">
        <v>2042</v>
      </c>
      <c r="C515" s="1010">
        <v>1</v>
      </c>
      <c r="D515" s="1011" t="s">
        <v>15</v>
      </c>
      <c r="E515" s="1011" t="s">
        <v>51</v>
      </c>
      <c r="F515" s="1022">
        <v>84057.73</v>
      </c>
      <c r="G515" s="1022">
        <f>F515*C515</f>
        <v>84057.73</v>
      </c>
      <c r="H515" s="1007"/>
    </row>
    <row r="516" spans="1:8" ht="18">
      <c r="A516" s="1023"/>
      <c r="B516" s="1009"/>
      <c r="C516" s="1010"/>
      <c r="D516" s="1011"/>
      <c r="E516" s="1011"/>
      <c r="F516" s="1022"/>
      <c r="G516" s="1022"/>
      <c r="H516" s="1018">
        <f>SUM(G515)</f>
        <v>84057.73</v>
      </c>
    </row>
    <row r="517" spans="1:8" ht="18">
      <c r="A517" s="1008">
        <v>2</v>
      </c>
      <c r="B517" s="1128" t="s">
        <v>2043</v>
      </c>
      <c r="C517" s="1010"/>
      <c r="D517" s="1011"/>
      <c r="E517" s="1011"/>
      <c r="F517" s="1022"/>
      <c r="G517" s="1022"/>
      <c r="H517" s="1007"/>
    </row>
    <row r="518" spans="1:8" ht="18">
      <c r="A518" s="1023"/>
      <c r="B518" s="1009" t="s">
        <v>2044</v>
      </c>
      <c r="C518" s="1010">
        <v>1</v>
      </c>
      <c r="D518" s="1011" t="s">
        <v>2003</v>
      </c>
      <c r="E518" s="1011" t="s">
        <v>51</v>
      </c>
      <c r="F518" s="1022">
        <v>135000</v>
      </c>
      <c r="G518" s="1022">
        <f>F518*C518</f>
        <v>135000</v>
      </c>
      <c r="H518" s="1007"/>
    </row>
    <row r="519" spans="1:8" ht="18">
      <c r="A519" s="1023"/>
      <c r="B519" s="1009" t="s">
        <v>2045</v>
      </c>
      <c r="C519" s="1010">
        <v>2</v>
      </c>
      <c r="D519" s="1011" t="s">
        <v>2003</v>
      </c>
      <c r="E519" s="1011" t="s">
        <v>51</v>
      </c>
      <c r="F519" s="1022">
        <v>90000</v>
      </c>
      <c r="G519" s="1022">
        <f>F519*C519</f>
        <v>180000</v>
      </c>
      <c r="H519" s="1007"/>
    </row>
    <row r="520" spans="1:8" ht="18">
      <c r="A520" s="1023"/>
      <c r="B520" s="1024"/>
      <c r="C520" s="1022"/>
      <c r="D520" s="1011"/>
      <c r="E520" s="1011"/>
      <c r="F520" s="1022"/>
      <c r="G520" s="1022"/>
      <c r="H520" s="1056">
        <f>SUM(G518:G519)</f>
        <v>315000</v>
      </c>
    </row>
    <row r="521" spans="1:8" ht="18">
      <c r="A521" s="1025"/>
      <c r="B521" s="1026"/>
      <c r="C521" s="1027"/>
      <c r="D521" s="1028"/>
      <c r="E521" s="1029"/>
      <c r="F521" s="1029" t="s">
        <v>25</v>
      </c>
      <c r="G521" s="1030"/>
      <c r="H521" s="1018">
        <f>H512+H516+H520</f>
        <v>2971257.73</v>
      </c>
    </row>
    <row r="522" spans="1:8" ht="18">
      <c r="A522" s="1031"/>
      <c r="B522" s="1032"/>
      <c r="C522" s="1033"/>
      <c r="D522" s="1033"/>
      <c r="E522" s="1034"/>
      <c r="F522" s="1035" t="s">
        <v>1151</v>
      </c>
      <c r="G522" s="1036"/>
      <c r="H522" s="1037"/>
    </row>
    <row r="523" spans="1:8" ht="18">
      <c r="A523" s="1038"/>
      <c r="B523" s="1039"/>
      <c r="C523" s="1040"/>
      <c r="D523" s="1040"/>
      <c r="E523" s="1041"/>
      <c r="F523" s="1042"/>
      <c r="G523" s="1043"/>
      <c r="H523" s="1044">
        <f>G521+G522</f>
        <v>0</v>
      </c>
    </row>
    <row r="524" spans="1:8" ht="18">
      <c r="A524" s="1047"/>
      <c r="B524" s="1048"/>
      <c r="C524" s="1048"/>
      <c r="D524" s="1048"/>
      <c r="E524" s="1048"/>
      <c r="F524" s="1049"/>
      <c r="G524" s="1050" t="s">
        <v>28</v>
      </c>
      <c r="H524" s="1006">
        <f>H521</f>
        <v>2971257.73</v>
      </c>
    </row>
    <row r="525" spans="1:8" ht="18">
      <c r="A525" s="1051"/>
      <c r="B525" s="1052"/>
      <c r="C525" s="1053"/>
      <c r="D525" s="1053"/>
      <c r="E525" s="1053"/>
      <c r="F525" s="1054"/>
      <c r="G525" s="1055" t="s">
        <v>30</v>
      </c>
      <c r="H525" s="1056">
        <f>ROUND(H524,-3)</f>
        <v>2971000</v>
      </c>
    </row>
    <row r="526" spans="1:8" ht="18">
      <c r="A526" s="1138"/>
      <c r="B526" s="1138"/>
      <c r="C526" s="1138"/>
      <c r="D526" s="1138"/>
      <c r="E526" s="1138"/>
      <c r="F526" s="1138"/>
      <c r="G526" s="1138"/>
      <c r="H526" s="1139"/>
    </row>
    <row r="527" spans="1:8" ht="18">
      <c r="A527" s="768" t="s">
        <v>1150</v>
      </c>
      <c r="B527" s="1138"/>
      <c r="C527" s="1138"/>
      <c r="D527" s="1138"/>
      <c r="E527" s="1138"/>
      <c r="F527" s="1138"/>
      <c r="G527" s="1138"/>
      <c r="H527" s="1139"/>
    </row>
    <row r="528" spans="1:8" ht="18">
      <c r="A528" s="1138"/>
      <c r="B528" s="965" t="s">
        <v>2057</v>
      </c>
      <c r="C528" s="1138"/>
      <c r="D528" s="1138"/>
      <c r="E528" s="1138"/>
      <c r="F528" s="1138"/>
      <c r="G528" s="1138"/>
      <c r="H528" s="1139"/>
    </row>
    <row r="529" spans="1:12" ht="18">
      <c r="A529" s="1138"/>
      <c r="B529" s="1138"/>
      <c r="C529" s="1138"/>
      <c r="D529" s="1138"/>
      <c r="E529" s="1138"/>
      <c r="F529" s="1138"/>
      <c r="G529" s="1138"/>
      <c r="H529" s="1139"/>
    </row>
    <row r="530" spans="1:12" ht="18">
      <c r="A530" s="958"/>
      <c r="B530" s="958"/>
      <c r="C530" s="958"/>
      <c r="D530" s="958"/>
      <c r="E530" s="958"/>
      <c r="F530" s="958"/>
      <c r="G530" s="1530" t="s">
        <v>2035</v>
      </c>
      <c r="H530" s="1530"/>
    </row>
    <row r="531" spans="1:12" ht="18">
      <c r="A531" s="1530" t="s">
        <v>31</v>
      </c>
      <c r="B531" s="1530"/>
      <c r="C531" s="1530" t="s">
        <v>32</v>
      </c>
      <c r="D531" s="1530"/>
      <c r="E531" s="1530"/>
      <c r="F531" s="958"/>
      <c r="G531" s="1530" t="s">
        <v>33</v>
      </c>
      <c r="H531" s="1530"/>
    </row>
    <row r="532" spans="1:12" ht="18">
      <c r="A532" s="958"/>
      <c r="B532" s="958"/>
      <c r="C532" s="958"/>
      <c r="D532" s="958"/>
      <c r="E532" s="958"/>
      <c r="F532" s="958"/>
      <c r="G532" s="958"/>
      <c r="H532" s="958"/>
    </row>
    <row r="533" spans="1:12" ht="18">
      <c r="A533" s="958"/>
      <c r="B533" s="958"/>
      <c r="C533" s="958"/>
      <c r="D533" s="958"/>
      <c r="E533" s="958"/>
      <c r="F533" s="958"/>
      <c r="G533" s="958"/>
      <c r="H533" s="958"/>
    </row>
    <row r="534" spans="1:12" ht="18">
      <c r="A534" s="958"/>
      <c r="B534" s="958"/>
      <c r="C534" s="958"/>
      <c r="D534" s="958"/>
      <c r="E534" s="958"/>
      <c r="F534" s="958"/>
      <c r="G534" s="958"/>
      <c r="H534" s="958"/>
      <c r="L534" s="808">
        <f>42*5*2</f>
        <v>420</v>
      </c>
    </row>
    <row r="535" spans="1:12" ht="21">
      <c r="A535" s="1529" t="s">
        <v>1622</v>
      </c>
      <c r="B535" s="1529"/>
      <c r="C535" s="1529" t="s">
        <v>1603</v>
      </c>
      <c r="D535" s="1529"/>
      <c r="E535" s="1529"/>
      <c r="F535" s="958"/>
      <c r="G535" s="1529" t="s">
        <v>1778</v>
      </c>
      <c r="H535" s="1529"/>
      <c r="K535" s="1141">
        <f>42*16.5*0.5</f>
        <v>346.5</v>
      </c>
      <c r="L535" s="808">
        <f>16.5*5*2</f>
        <v>165</v>
      </c>
    </row>
    <row r="536" spans="1:12" ht="18">
      <c r="A536" s="1530" t="s">
        <v>37</v>
      </c>
      <c r="B536" s="1530"/>
      <c r="C536" s="1530" t="s">
        <v>1604</v>
      </c>
      <c r="D536" s="1530"/>
      <c r="E536" s="1530"/>
      <c r="F536" s="958"/>
      <c r="G536" s="1530" t="s">
        <v>39</v>
      </c>
      <c r="H536" s="1530"/>
      <c r="K536" s="1140">
        <f>42*16.5</f>
        <v>693</v>
      </c>
      <c r="L536" s="808">
        <f>5*14*8</f>
        <v>560</v>
      </c>
    </row>
    <row r="537" spans="1:12" ht="18">
      <c r="K537" s="1140">
        <f>42*16.5*0.3</f>
        <v>207.9</v>
      </c>
      <c r="L537" s="808">
        <f>(4*5*0.5)*15</f>
        <v>150</v>
      </c>
    </row>
    <row r="538" spans="1:12" ht="15.6">
      <c r="L538" s="808">
        <f>SUM(L534:L537)</f>
        <v>1295</v>
      </c>
    </row>
    <row r="539" spans="1:12" ht="15.6">
      <c r="L539" s="808">
        <v>1595</v>
      </c>
    </row>
    <row r="540" spans="1:12" ht="33.6">
      <c r="A540" s="597"/>
      <c r="B540" s="597"/>
      <c r="C540" s="1524" t="s">
        <v>235</v>
      </c>
      <c r="D540" s="1524"/>
      <c r="E540" s="1524"/>
      <c r="F540" s="1524"/>
      <c r="G540" s="1524"/>
      <c r="H540" s="1524"/>
    </row>
    <row r="541" spans="1:12" ht="33.6">
      <c r="A541" s="597"/>
      <c r="B541" s="597"/>
      <c r="C541" s="1576" t="s">
        <v>310</v>
      </c>
      <c r="D541" s="1576"/>
      <c r="E541" s="1576"/>
      <c r="F541" s="1576"/>
      <c r="G541" s="1576"/>
      <c r="H541" s="1576"/>
    </row>
    <row r="542" spans="1:12" ht="33.6">
      <c r="A542" s="830"/>
      <c r="B542" s="830"/>
      <c r="C542" s="1524" t="s">
        <v>2027</v>
      </c>
      <c r="D542" s="1524"/>
      <c r="E542" s="1524"/>
      <c r="F542" s="1524"/>
      <c r="G542" s="1524"/>
      <c r="H542" s="1524"/>
    </row>
    <row r="543" spans="1:12" ht="15.6">
      <c r="A543" s="769"/>
      <c r="B543" s="769"/>
      <c r="C543" s="769"/>
      <c r="D543" s="769"/>
      <c r="E543" s="769"/>
      <c r="F543" s="769"/>
      <c r="G543" s="769"/>
      <c r="H543" s="769"/>
    </row>
    <row r="544" spans="1:12" ht="15.6">
      <c r="A544" s="769"/>
      <c r="B544" s="769"/>
      <c r="C544" s="769"/>
      <c r="D544" s="769"/>
      <c r="E544" s="769"/>
      <c r="F544" s="769"/>
      <c r="G544" s="769"/>
      <c r="H544" s="769"/>
      <c r="L544" s="1">
        <f>42/5</f>
        <v>8.4</v>
      </c>
    </row>
    <row r="545" spans="1:8" ht="18">
      <c r="A545" s="1531" t="s">
        <v>3</v>
      </c>
      <c r="B545" s="1531" t="s">
        <v>4</v>
      </c>
      <c r="C545" s="1531" t="s">
        <v>5</v>
      </c>
      <c r="D545" s="1531" t="s">
        <v>6</v>
      </c>
      <c r="E545" s="1531" t="s">
        <v>7</v>
      </c>
      <c r="F545" s="1001" t="s">
        <v>8</v>
      </c>
      <c r="G545" s="1001" t="s">
        <v>9</v>
      </c>
      <c r="H545" s="1001" t="s">
        <v>10</v>
      </c>
    </row>
    <row r="546" spans="1:8" ht="18">
      <c r="A546" s="1532"/>
      <c r="B546" s="1532"/>
      <c r="C546" s="1532"/>
      <c r="D546" s="1532"/>
      <c r="E546" s="1532"/>
      <c r="F546" s="1002" t="s">
        <v>11</v>
      </c>
      <c r="G546" s="1002" t="s">
        <v>11</v>
      </c>
      <c r="H546" s="1002" t="s">
        <v>11</v>
      </c>
    </row>
    <row r="547" spans="1:8" ht="18">
      <c r="A547" s="1001" t="s">
        <v>12</v>
      </c>
      <c r="B547" s="1003" t="s">
        <v>364</v>
      </c>
      <c r="C547" s="1004"/>
      <c r="D547" s="1005"/>
      <c r="E547" s="1005"/>
      <c r="F547" s="1005"/>
      <c r="G547" s="1006"/>
      <c r="H547" s="1057"/>
    </row>
    <row r="548" spans="1:8" ht="18">
      <c r="A548" s="1008"/>
      <c r="B548" s="1009" t="s">
        <v>1541</v>
      </c>
      <c r="C548" s="1010">
        <v>6</v>
      </c>
      <c r="D548" s="1011" t="s">
        <v>132</v>
      </c>
      <c r="E548" s="1011" t="s">
        <v>197</v>
      </c>
      <c r="F548" s="1012" t="s">
        <v>126</v>
      </c>
      <c r="G548" s="1012" t="s">
        <v>126</v>
      </c>
      <c r="H548" s="1058"/>
    </row>
    <row r="549" spans="1:8" ht="18">
      <c r="A549" s="1008"/>
      <c r="B549" s="1009" t="s">
        <v>1542</v>
      </c>
      <c r="C549" s="1010">
        <v>3</v>
      </c>
      <c r="D549" s="1011" t="s">
        <v>132</v>
      </c>
      <c r="E549" s="1011" t="s">
        <v>197</v>
      </c>
      <c r="F549" s="1011" t="s">
        <v>126</v>
      </c>
      <c r="G549" s="1215" t="s">
        <v>126</v>
      </c>
      <c r="H549" s="1058"/>
    </row>
    <row r="550" spans="1:8" ht="18">
      <c r="A550" s="1008"/>
      <c r="B550" s="1009" t="s">
        <v>1543</v>
      </c>
      <c r="C550" s="1010">
        <v>2</v>
      </c>
      <c r="D550" s="1011" t="s">
        <v>44</v>
      </c>
      <c r="E550" s="1011" t="s">
        <v>197</v>
      </c>
      <c r="F550" s="1012" t="s">
        <v>126</v>
      </c>
      <c r="G550" s="1012" t="s">
        <v>126</v>
      </c>
      <c r="H550" s="1058"/>
    </row>
    <row r="551" spans="1:8" ht="18">
      <c r="A551" s="1008"/>
      <c r="B551" s="1009" t="s">
        <v>1544</v>
      </c>
      <c r="C551" s="1010">
        <v>1</v>
      </c>
      <c r="D551" s="1011" t="s">
        <v>44</v>
      </c>
      <c r="E551" s="1011" t="s">
        <v>197</v>
      </c>
      <c r="F551" s="1011" t="s">
        <v>126</v>
      </c>
      <c r="G551" s="1215" t="s">
        <v>126</v>
      </c>
      <c r="H551" s="1058"/>
    </row>
    <row r="552" spans="1:8" ht="18">
      <c r="A552" s="1008"/>
      <c r="B552" s="1009" t="s">
        <v>1545</v>
      </c>
      <c r="C552" s="1010">
        <v>2</v>
      </c>
      <c r="D552" s="1011" t="s">
        <v>44</v>
      </c>
      <c r="E552" s="1011" t="s">
        <v>197</v>
      </c>
      <c r="F552" s="1012" t="s">
        <v>126</v>
      </c>
      <c r="G552" s="1012" t="s">
        <v>126</v>
      </c>
      <c r="H552" s="1058"/>
    </row>
    <row r="553" spans="1:8" ht="18">
      <c r="A553" s="1008"/>
      <c r="B553" s="1009" t="s">
        <v>1546</v>
      </c>
      <c r="C553" s="1010">
        <v>1</v>
      </c>
      <c r="D553" s="1011" t="s">
        <v>44</v>
      </c>
      <c r="E553" s="1011" t="s">
        <v>197</v>
      </c>
      <c r="F553" s="1012" t="s">
        <v>126</v>
      </c>
      <c r="G553" s="1012" t="s">
        <v>126</v>
      </c>
      <c r="H553" s="1058"/>
    </row>
    <row r="554" spans="1:8" ht="18">
      <c r="A554" s="1008"/>
      <c r="B554" s="1009" t="s">
        <v>1547</v>
      </c>
      <c r="C554" s="1010">
        <v>3</v>
      </c>
      <c r="D554" s="1011" t="s">
        <v>44</v>
      </c>
      <c r="E554" s="1011" t="s">
        <v>16</v>
      </c>
      <c r="F554" s="1022">
        <v>75000</v>
      </c>
      <c r="G554" s="1022">
        <f>F554*C554</f>
        <v>225000</v>
      </c>
      <c r="H554" s="1058"/>
    </row>
    <row r="555" spans="1:8" ht="18">
      <c r="A555" s="1013"/>
      <c r="B555" s="1014"/>
      <c r="C555" s="1015"/>
      <c r="D555" s="1016"/>
      <c r="E555" s="1016"/>
      <c r="F555" s="1017"/>
      <c r="G555" s="1017"/>
      <c r="H555" s="1135">
        <f>SUM(G547:G555)</f>
        <v>225000</v>
      </c>
    </row>
    <row r="556" spans="1:8" ht="18">
      <c r="A556" s="1008" t="s">
        <v>18</v>
      </c>
      <c r="B556" s="1019" t="s">
        <v>19</v>
      </c>
      <c r="C556" s="1020"/>
      <c r="D556" s="1011"/>
      <c r="E556" s="1011"/>
      <c r="F556" s="1136"/>
      <c r="G556" s="1136"/>
      <c r="H556" s="1137"/>
    </row>
    <row r="557" spans="1:8" ht="18">
      <c r="A557" s="1008"/>
      <c r="B557" s="1019" t="s">
        <v>1926</v>
      </c>
      <c r="C557" s="1020"/>
      <c r="D557" s="1011"/>
      <c r="E557" s="1011"/>
      <c r="F557" s="1021"/>
      <c r="G557" s="1022"/>
      <c r="H557" s="1007"/>
    </row>
    <row r="558" spans="1:8" ht="18">
      <c r="A558" s="1023"/>
      <c r="B558" s="1021" t="s">
        <v>1549</v>
      </c>
      <c r="C558" s="1010"/>
      <c r="D558" s="1012"/>
      <c r="E558" s="1011"/>
      <c r="F558" s="1007"/>
      <c r="G558" s="1022"/>
      <c r="H558" s="1007"/>
    </row>
    <row r="559" spans="1:8" ht="18">
      <c r="A559" s="1023"/>
      <c r="B559" s="1009" t="s">
        <v>1550</v>
      </c>
      <c r="C559" s="1010">
        <v>1</v>
      </c>
      <c r="D559" s="1011" t="s">
        <v>69</v>
      </c>
      <c r="E559" s="1011" t="s">
        <v>51</v>
      </c>
      <c r="F559" s="1022">
        <v>500000</v>
      </c>
      <c r="G559" s="1022">
        <f t="shared" ref="G559:G564" si="1">F559*C559</f>
        <v>500000</v>
      </c>
      <c r="H559" s="1007"/>
    </row>
    <row r="560" spans="1:8" ht="18">
      <c r="A560" s="1023"/>
      <c r="B560" s="1009" t="s">
        <v>1551</v>
      </c>
      <c r="C560" s="1010">
        <v>1</v>
      </c>
      <c r="D560" s="1011" t="s">
        <v>69</v>
      </c>
      <c r="E560" s="1011" t="s">
        <v>51</v>
      </c>
      <c r="F560" s="1022">
        <v>250000</v>
      </c>
      <c r="G560" s="1022">
        <f t="shared" si="1"/>
        <v>250000</v>
      </c>
      <c r="H560" s="1007"/>
    </row>
    <row r="561" spans="1:12" ht="18">
      <c r="A561" s="1023"/>
      <c r="B561" s="1009" t="s">
        <v>1552</v>
      </c>
      <c r="C561" s="1010">
        <v>1</v>
      </c>
      <c r="D561" s="1011" t="s">
        <v>21</v>
      </c>
      <c r="E561" s="1011" t="s">
        <v>51</v>
      </c>
      <c r="F561" s="1022">
        <v>250000</v>
      </c>
      <c r="G561" s="1022">
        <f t="shared" si="1"/>
        <v>250000</v>
      </c>
      <c r="H561" s="1007"/>
    </row>
    <row r="562" spans="1:12" ht="18">
      <c r="A562" s="1023"/>
      <c r="B562" s="1009" t="s">
        <v>1553</v>
      </c>
      <c r="C562" s="1010">
        <v>1</v>
      </c>
      <c r="D562" s="1011" t="s">
        <v>21</v>
      </c>
      <c r="E562" s="1011" t="s">
        <v>51</v>
      </c>
      <c r="F562" s="1022">
        <v>250000</v>
      </c>
      <c r="G562" s="1022">
        <f t="shared" si="1"/>
        <v>250000</v>
      </c>
      <c r="H562" s="1007"/>
    </row>
    <row r="563" spans="1:12" ht="18">
      <c r="A563" s="1023"/>
      <c r="B563" s="1009" t="s">
        <v>1759</v>
      </c>
      <c r="C563" s="1010">
        <v>1</v>
      </c>
      <c r="D563" s="1011" t="s">
        <v>21</v>
      </c>
      <c r="E563" s="1011" t="s">
        <v>51</v>
      </c>
      <c r="F563" s="1022">
        <v>500000</v>
      </c>
      <c r="G563" s="1022">
        <f t="shared" si="1"/>
        <v>500000</v>
      </c>
      <c r="H563" s="1007"/>
    </row>
    <row r="564" spans="1:12" ht="18">
      <c r="A564" s="1023"/>
      <c r="B564" s="1009" t="s">
        <v>1760</v>
      </c>
      <c r="C564" s="1010">
        <v>1</v>
      </c>
      <c r="D564" s="1011" t="s">
        <v>21</v>
      </c>
      <c r="E564" s="1011" t="s">
        <v>51</v>
      </c>
      <c r="F564" s="1022">
        <v>600000</v>
      </c>
      <c r="G564" s="1022">
        <f t="shared" si="1"/>
        <v>600000</v>
      </c>
      <c r="H564" s="1007"/>
    </row>
    <row r="565" spans="1:12" ht="18">
      <c r="A565" s="1023"/>
      <c r="B565" s="1009"/>
      <c r="C565" s="1010"/>
      <c r="D565" s="1011"/>
      <c r="E565" s="1011"/>
      <c r="F565" s="1022"/>
      <c r="G565" s="1022"/>
      <c r="H565" s="1007"/>
    </row>
    <row r="566" spans="1:12" ht="18">
      <c r="A566" s="1023"/>
      <c r="B566" s="1021" t="s">
        <v>2032</v>
      </c>
      <c r="C566" s="1010"/>
      <c r="D566" s="1011"/>
      <c r="E566" s="1011"/>
      <c r="F566" s="1022"/>
      <c r="G566" s="1022"/>
      <c r="H566" s="1007"/>
    </row>
    <row r="567" spans="1:12" ht="18">
      <c r="A567" s="1023"/>
      <c r="B567" s="1009" t="s">
        <v>1621</v>
      </c>
      <c r="C567" s="1010">
        <v>346.5</v>
      </c>
      <c r="D567" s="1011" t="s">
        <v>81</v>
      </c>
      <c r="E567" s="1011" t="s">
        <v>82</v>
      </c>
      <c r="F567" s="1022">
        <v>7256.25</v>
      </c>
      <c r="G567" s="1022">
        <f>F567*C567</f>
        <v>2514290.625</v>
      </c>
      <c r="H567" s="1007"/>
    </row>
    <row r="568" spans="1:12" ht="18">
      <c r="A568" s="1023"/>
      <c r="B568" s="1009" t="s">
        <v>1558</v>
      </c>
      <c r="C568" s="1010">
        <v>1295</v>
      </c>
      <c r="D568" s="1011" t="s">
        <v>84</v>
      </c>
      <c r="E568" s="1011" t="s">
        <v>82</v>
      </c>
      <c r="F568" s="1022">
        <v>4542</v>
      </c>
      <c r="G568" s="1022">
        <f>F568*C568</f>
        <v>5881890</v>
      </c>
      <c r="H568" s="1007"/>
    </row>
    <row r="569" spans="1:12" ht="18">
      <c r="A569" s="1023"/>
      <c r="B569" s="1009" t="s">
        <v>1559</v>
      </c>
      <c r="C569" s="1010">
        <v>693</v>
      </c>
      <c r="D569" s="1011" t="s">
        <v>84</v>
      </c>
      <c r="E569" s="1011" t="s">
        <v>82</v>
      </c>
      <c r="F569" s="1022">
        <v>4542</v>
      </c>
      <c r="G569" s="1022">
        <f>F569*C569</f>
        <v>3147606</v>
      </c>
      <c r="H569" s="1007"/>
    </row>
    <row r="570" spans="1:12" ht="18">
      <c r="A570" s="1023"/>
      <c r="B570" s="1009" t="s">
        <v>2036</v>
      </c>
      <c r="C570" s="1059">
        <v>207.9</v>
      </c>
      <c r="D570" s="1011" t="s">
        <v>81</v>
      </c>
      <c r="E570" s="1011" t="s">
        <v>16</v>
      </c>
      <c r="F570" s="1022">
        <v>31050</v>
      </c>
      <c r="G570" s="1022">
        <f>F570*C570</f>
        <v>6455295</v>
      </c>
      <c r="H570" s="1007"/>
    </row>
    <row r="571" spans="1:12" ht="18">
      <c r="A571" s="1023"/>
      <c r="B571" s="1009"/>
      <c r="C571" s="1059"/>
      <c r="D571" s="1011"/>
      <c r="E571" s="1011"/>
      <c r="F571" s="1022"/>
      <c r="G571" s="1022"/>
      <c r="H571" s="1007"/>
      <c r="L571" s="1">
        <f>42*16.5*0.3</f>
        <v>207.9</v>
      </c>
    </row>
    <row r="572" spans="1:12" ht="18">
      <c r="A572" s="1023"/>
      <c r="B572" s="1021" t="s">
        <v>2033</v>
      </c>
      <c r="C572" s="1010"/>
      <c r="D572" s="1011"/>
      <c r="E572" s="1011"/>
      <c r="F572" s="1022"/>
      <c r="G572" s="1022"/>
      <c r="H572" s="1007"/>
    </row>
    <row r="573" spans="1:12" ht="18">
      <c r="A573" s="1023"/>
      <c r="B573" s="1009" t="s">
        <v>1621</v>
      </c>
      <c r="C573" s="1010">
        <v>346.5</v>
      </c>
      <c r="D573" s="1011" t="s">
        <v>81</v>
      </c>
      <c r="E573" s="1011" t="s">
        <v>82</v>
      </c>
      <c r="F573" s="1022">
        <v>7256.25</v>
      </c>
      <c r="G573" s="1022">
        <f>F573*C573</f>
        <v>2514290.625</v>
      </c>
      <c r="H573" s="1007"/>
    </row>
    <row r="574" spans="1:12" ht="18">
      <c r="A574" s="1023"/>
      <c r="B574" s="1009" t="s">
        <v>1558</v>
      </c>
      <c r="C574" s="1010">
        <v>1295</v>
      </c>
      <c r="D574" s="1011" t="s">
        <v>84</v>
      </c>
      <c r="E574" s="1011" t="s">
        <v>82</v>
      </c>
      <c r="F574" s="1022">
        <v>4542</v>
      </c>
      <c r="G574" s="1022">
        <f>F574*C574</f>
        <v>5881890</v>
      </c>
      <c r="H574" s="1007"/>
    </row>
    <row r="575" spans="1:12" ht="18">
      <c r="A575" s="1023"/>
      <c r="B575" s="1009" t="s">
        <v>1559</v>
      </c>
      <c r="C575" s="1010">
        <v>693</v>
      </c>
      <c r="D575" s="1011" t="s">
        <v>84</v>
      </c>
      <c r="E575" s="1011" t="s">
        <v>82</v>
      </c>
      <c r="F575" s="1022">
        <v>4542</v>
      </c>
      <c r="G575" s="1022">
        <f>F575*C575</f>
        <v>3147606</v>
      </c>
      <c r="H575" s="1007"/>
    </row>
    <row r="576" spans="1:12" ht="18">
      <c r="A576" s="1023"/>
      <c r="B576" s="1009" t="s">
        <v>2036</v>
      </c>
      <c r="C576" s="1059">
        <v>207.9</v>
      </c>
      <c r="D576" s="1011" t="s">
        <v>81</v>
      </c>
      <c r="E576" s="1011" t="s">
        <v>16</v>
      </c>
      <c r="F576" s="1022">
        <v>31050</v>
      </c>
      <c r="G576" s="1022">
        <f>F576*C576</f>
        <v>6455295</v>
      </c>
      <c r="H576" s="1007"/>
    </row>
    <row r="577" spans="1:8" ht="18">
      <c r="A577" s="1023"/>
      <c r="B577" s="1009"/>
      <c r="C577" s="1059"/>
      <c r="D577" s="1011"/>
      <c r="E577" s="1011"/>
      <c r="F577" s="1022"/>
      <c r="G577" s="1022"/>
      <c r="H577" s="1007"/>
    </row>
    <row r="578" spans="1:8" ht="18">
      <c r="A578" s="1023"/>
      <c r="B578" s="1021" t="s">
        <v>2034</v>
      </c>
      <c r="C578" s="1010">
        <v>1</v>
      </c>
      <c r="D578" s="1011" t="s">
        <v>69</v>
      </c>
      <c r="E578" s="1011" t="s">
        <v>51</v>
      </c>
      <c r="F578" s="1022">
        <v>250000</v>
      </c>
      <c r="G578" s="1022">
        <f>F578*C578</f>
        <v>250000</v>
      </c>
      <c r="H578" s="1007"/>
    </row>
    <row r="579" spans="1:8" ht="18">
      <c r="A579" s="1023"/>
      <c r="B579" s="1021"/>
      <c r="C579" s="1010"/>
      <c r="D579" s="1011"/>
      <c r="E579" s="1011"/>
      <c r="F579" s="1022"/>
      <c r="G579" s="1022"/>
      <c r="H579" s="1007"/>
    </row>
    <row r="580" spans="1:8" ht="18">
      <c r="A580" s="1023"/>
      <c r="B580" s="1024" t="s">
        <v>2157</v>
      </c>
      <c r="C580" s="1351">
        <v>1</v>
      </c>
      <c r="D580" s="1229" t="s">
        <v>69</v>
      </c>
      <c r="E580" s="1011" t="s">
        <v>51</v>
      </c>
      <c r="F580" s="1352">
        <v>150000</v>
      </c>
      <c r="G580" s="1022">
        <f>F580</f>
        <v>150000</v>
      </c>
      <c r="H580" s="1007"/>
    </row>
    <row r="581" spans="1:8" ht="18">
      <c r="A581" s="1025"/>
      <c r="B581" s="1026"/>
      <c r="C581" s="1027"/>
      <c r="D581" s="1028"/>
      <c r="E581" s="1029"/>
      <c r="F581" s="1029" t="s">
        <v>25</v>
      </c>
      <c r="G581" s="1030">
        <f>SUM(G557:G580)</f>
        <v>38748163.25</v>
      </c>
      <c r="H581" s="1018"/>
    </row>
    <row r="582" spans="1:8" ht="18">
      <c r="A582" s="1031"/>
      <c r="B582" s="1032"/>
      <c r="C582" s="1350"/>
      <c r="D582" s="1033"/>
      <c r="E582" s="1034"/>
      <c r="F582" s="1035" t="s">
        <v>1151</v>
      </c>
      <c r="G582" s="1036">
        <f>G581/10</f>
        <v>3874816.3250000002</v>
      </c>
      <c r="H582" s="1037"/>
    </row>
    <row r="583" spans="1:8" ht="18">
      <c r="A583" s="1038"/>
      <c r="B583" s="1039"/>
      <c r="C583" s="1040"/>
      <c r="D583" s="1040"/>
      <c r="E583" s="1041"/>
      <c r="F583" s="1042"/>
      <c r="G583" s="1043"/>
      <c r="H583" s="1044">
        <f>G581+G582</f>
        <v>42622979.575000003</v>
      </c>
    </row>
    <row r="584" spans="1:8" ht="18">
      <c r="A584" s="1031"/>
      <c r="B584" s="1032"/>
      <c r="C584" s="1033"/>
      <c r="D584" s="1033"/>
      <c r="E584" s="1034"/>
      <c r="F584" s="1035"/>
      <c r="G584" s="1045"/>
      <c r="H584" s="1046"/>
    </row>
    <row r="585" spans="1:8" ht="18">
      <c r="A585" s="1047"/>
      <c r="B585" s="1048"/>
      <c r="C585" s="1048"/>
      <c r="D585" s="1048"/>
      <c r="E585" s="1048"/>
      <c r="F585" s="1049"/>
      <c r="G585" s="1050" t="s">
        <v>28</v>
      </c>
      <c r="H585" s="1006">
        <f>H583+H555</f>
        <v>42847979.575000003</v>
      </c>
    </row>
    <row r="586" spans="1:8" ht="18">
      <c r="A586" s="1051"/>
      <c r="B586" s="1052"/>
      <c r="C586" s="1053"/>
      <c r="D586" s="1053"/>
      <c r="E586" s="1053"/>
      <c r="F586" s="1054"/>
      <c r="G586" s="1055" t="s">
        <v>30</v>
      </c>
      <c r="H586" s="1056">
        <f>ROUND(H585,-3)</f>
        <v>42848000</v>
      </c>
    </row>
    <row r="587" spans="1:8" ht="18">
      <c r="A587" s="1138"/>
      <c r="B587" s="1138"/>
      <c r="C587" s="1138"/>
      <c r="D587" s="1138"/>
      <c r="E587" s="1138"/>
      <c r="F587" s="1138"/>
      <c r="G587" s="1138"/>
      <c r="H587" s="1139"/>
    </row>
    <row r="588" spans="1:8" ht="18">
      <c r="A588" s="768" t="s">
        <v>1150</v>
      </c>
      <c r="B588" s="1138"/>
      <c r="C588" s="1138"/>
      <c r="D588" s="1138"/>
      <c r="E588" s="1138"/>
      <c r="F588" s="1138"/>
      <c r="G588" s="1138"/>
      <c r="H588" s="1139"/>
    </row>
    <row r="589" spans="1:8" ht="18">
      <c r="A589" s="1138"/>
      <c r="B589" s="965" t="s">
        <v>2159</v>
      </c>
      <c r="C589" s="1138"/>
      <c r="D589" s="1138"/>
      <c r="E589" s="1138"/>
      <c r="F589" s="1138"/>
      <c r="G589" s="1138"/>
      <c r="H589" s="1139"/>
    </row>
    <row r="590" spans="1:8" ht="18">
      <c r="A590" s="1138"/>
      <c r="B590" s="1138"/>
      <c r="C590" s="1138"/>
      <c r="D590" s="1138"/>
      <c r="E590" s="1138"/>
      <c r="F590" s="1138"/>
      <c r="G590" s="1138"/>
      <c r="H590" s="1139"/>
    </row>
    <row r="591" spans="1:8" ht="18">
      <c r="A591" s="958"/>
      <c r="B591" s="958"/>
      <c r="C591" s="958"/>
      <c r="D591" s="958"/>
      <c r="E591" s="958"/>
      <c r="F591" s="958"/>
      <c r="G591" s="1530" t="s">
        <v>2158</v>
      </c>
      <c r="H591" s="1530"/>
    </row>
    <row r="592" spans="1:8" ht="18">
      <c r="A592" s="1530" t="s">
        <v>31</v>
      </c>
      <c r="B592" s="1530"/>
      <c r="C592" s="1530" t="s">
        <v>32</v>
      </c>
      <c r="D592" s="1530"/>
      <c r="E592" s="1530"/>
      <c r="F592" s="958"/>
      <c r="G592" s="1530" t="s">
        <v>33</v>
      </c>
      <c r="H592" s="1530"/>
    </row>
    <row r="593" spans="1:8" ht="18">
      <c r="A593" s="958"/>
      <c r="B593" s="958"/>
      <c r="C593" s="958"/>
      <c r="D593" s="958"/>
      <c r="E593" s="958"/>
      <c r="F593" s="958"/>
      <c r="G593" s="958"/>
      <c r="H593" s="958"/>
    </row>
    <row r="594" spans="1:8" ht="18">
      <c r="A594" s="958"/>
      <c r="B594" s="958"/>
      <c r="C594" s="958"/>
      <c r="D594" s="958"/>
      <c r="E594" s="958"/>
      <c r="F594" s="958"/>
      <c r="G594" s="958"/>
      <c r="H594" s="958"/>
    </row>
    <row r="595" spans="1:8" ht="18">
      <c r="A595" s="958"/>
      <c r="B595" s="958"/>
      <c r="C595" s="958"/>
      <c r="D595" s="958"/>
      <c r="E595" s="958"/>
      <c r="F595" s="958"/>
      <c r="G595" s="958"/>
      <c r="H595" s="958"/>
    </row>
    <row r="596" spans="1:8" ht="18">
      <c r="A596" s="1529" t="s">
        <v>1622</v>
      </c>
      <c r="B596" s="1529"/>
      <c r="C596" s="1529" t="s">
        <v>1603</v>
      </c>
      <c r="D596" s="1529"/>
      <c r="E596" s="1529"/>
      <c r="F596" s="958"/>
      <c r="G596" s="1529" t="s">
        <v>1778</v>
      </c>
      <c r="H596" s="1529"/>
    </row>
    <row r="597" spans="1:8" ht="18">
      <c r="A597" s="1530" t="s">
        <v>37</v>
      </c>
      <c r="B597" s="1530"/>
      <c r="C597" s="1530" t="s">
        <v>1604</v>
      </c>
      <c r="D597" s="1530"/>
      <c r="E597" s="1530"/>
      <c r="F597" s="958"/>
      <c r="G597" s="1530" t="s">
        <v>39</v>
      </c>
      <c r="H597" s="1530"/>
    </row>
    <row r="598" spans="1:8" ht="18">
      <c r="A598" s="1140"/>
      <c r="B598" s="1140"/>
      <c r="C598" s="1140"/>
      <c r="D598" s="1140"/>
      <c r="E598" s="1140"/>
      <c r="F598" s="1140"/>
      <c r="G598" s="1140"/>
      <c r="H598" s="1140"/>
    </row>
    <row r="600" spans="1:8" ht="15.6">
      <c r="A600" s="602"/>
      <c r="B600" s="602"/>
      <c r="C600" s="602"/>
      <c r="D600" s="602"/>
      <c r="E600" s="602"/>
      <c r="F600" s="51"/>
      <c r="G600" s="602"/>
      <c r="H600" s="602"/>
    </row>
    <row r="601" spans="1:8" ht="31.2">
      <c r="A601" s="597"/>
      <c r="B601" s="597"/>
      <c r="C601" s="1552" t="s">
        <v>235</v>
      </c>
      <c r="D601" s="1552"/>
      <c r="E601" s="1552"/>
      <c r="F601" s="1552"/>
      <c r="G601" s="1552"/>
      <c r="H601" s="1552"/>
    </row>
    <row r="602" spans="1:8" ht="28.8">
      <c r="A602" s="597"/>
      <c r="B602" s="597"/>
      <c r="C602" s="1525" t="s">
        <v>1807</v>
      </c>
      <c r="D602" s="1525"/>
      <c r="E602" s="1525"/>
      <c r="F602" s="1525"/>
      <c r="G602" s="1525"/>
      <c r="H602" s="1525"/>
    </row>
    <row r="603" spans="1:8" ht="25.8">
      <c r="A603" s="830"/>
      <c r="B603" s="830"/>
      <c r="C603" s="1525" t="s">
        <v>2031</v>
      </c>
      <c r="D603" s="1525"/>
      <c r="E603" s="1525"/>
      <c r="F603" s="1525"/>
      <c r="G603" s="1525"/>
      <c r="H603" s="1525"/>
    </row>
    <row r="604" spans="1:8" ht="15.6">
      <c r="A604" s="769"/>
      <c r="B604" s="769"/>
      <c r="C604" s="769"/>
      <c r="D604" s="769"/>
      <c r="E604" s="769"/>
      <c r="F604" s="769"/>
      <c r="G604" s="769"/>
      <c r="H604" s="769"/>
    </row>
    <row r="605" spans="1:8" ht="15.6">
      <c r="A605" s="769"/>
      <c r="B605" s="769"/>
      <c r="C605" s="769"/>
      <c r="D605" s="769"/>
      <c r="E605" s="769"/>
      <c r="F605" s="769"/>
      <c r="G605" s="769"/>
      <c r="H605" s="769"/>
    </row>
    <row r="606" spans="1:8" ht="18">
      <c r="A606" s="1531" t="s">
        <v>3</v>
      </c>
      <c r="B606" s="1531" t="s">
        <v>4</v>
      </c>
      <c r="C606" s="1531" t="s">
        <v>5</v>
      </c>
      <c r="D606" s="1531" t="s">
        <v>6</v>
      </c>
      <c r="E606" s="1531" t="s">
        <v>7</v>
      </c>
      <c r="F606" s="1001" t="s">
        <v>8</v>
      </c>
      <c r="G606" s="1001" t="s">
        <v>9</v>
      </c>
      <c r="H606" s="1001" t="s">
        <v>10</v>
      </c>
    </row>
    <row r="607" spans="1:8" ht="18">
      <c r="A607" s="1532"/>
      <c r="B607" s="1532"/>
      <c r="C607" s="1532"/>
      <c r="D607" s="1532"/>
      <c r="E607" s="1532"/>
      <c r="F607" s="1002" t="s">
        <v>11</v>
      </c>
      <c r="G607" s="1002" t="s">
        <v>11</v>
      </c>
      <c r="H607" s="1002" t="s">
        <v>11</v>
      </c>
    </row>
    <row r="608" spans="1:8" ht="18">
      <c r="A608" s="1001" t="s">
        <v>12</v>
      </c>
      <c r="B608" s="1003" t="s">
        <v>364</v>
      </c>
      <c r="C608" s="1004"/>
      <c r="D608" s="1005"/>
      <c r="E608" s="1005"/>
      <c r="F608" s="1005"/>
      <c r="G608" s="1006"/>
      <c r="H608" s="1007"/>
    </row>
    <row r="609" spans="1:8" ht="18">
      <c r="A609" s="1008"/>
      <c r="B609" s="1009" t="s">
        <v>1801</v>
      </c>
      <c r="C609" s="1010">
        <v>1</v>
      </c>
      <c r="D609" s="1011" t="s">
        <v>44</v>
      </c>
      <c r="E609" s="1011" t="s">
        <v>16</v>
      </c>
      <c r="F609" s="1022">
        <v>8950000</v>
      </c>
      <c r="G609" s="1012">
        <f>C609*F609</f>
        <v>8950000</v>
      </c>
      <c r="H609" s="1007"/>
    </row>
    <row r="610" spans="1:8" ht="18">
      <c r="A610" s="1008"/>
      <c r="B610" s="1021" t="s">
        <v>1802</v>
      </c>
      <c r="C610" s="1010"/>
      <c r="D610" s="1011"/>
      <c r="E610" s="1011"/>
      <c r="F610" s="1022"/>
      <c r="G610" s="1012"/>
      <c r="H610" s="1007"/>
    </row>
    <row r="611" spans="1:8" ht="18">
      <c r="A611" s="1008"/>
      <c r="B611" s="1009" t="s">
        <v>1803</v>
      </c>
      <c r="C611" s="1010">
        <v>1</v>
      </c>
      <c r="D611" s="1011" t="s">
        <v>44</v>
      </c>
      <c r="E611" s="1011" t="s">
        <v>16</v>
      </c>
      <c r="F611" s="1022">
        <v>8882500</v>
      </c>
      <c r="G611" s="1012">
        <f>C611*F611</f>
        <v>8882500</v>
      </c>
      <c r="H611" s="1007"/>
    </row>
    <row r="612" spans="1:8" ht="18">
      <c r="A612" s="1008"/>
      <c r="B612" s="1021" t="s">
        <v>1804</v>
      </c>
      <c r="C612" s="1010"/>
      <c r="D612" s="1011"/>
      <c r="E612" s="1011"/>
      <c r="F612" s="1022"/>
      <c r="G612" s="1012"/>
      <c r="H612" s="1007"/>
    </row>
    <row r="613" spans="1:8" ht="18">
      <c r="A613" s="1013"/>
      <c r="B613" s="1014"/>
      <c r="C613" s="1015"/>
      <c r="D613" s="1016"/>
      <c r="E613" s="1016"/>
      <c r="F613" s="1017"/>
      <c r="G613" s="1017"/>
      <c r="H613" s="1018">
        <f>SUM(G609:G612)</f>
        <v>17832500</v>
      </c>
    </row>
    <row r="614" spans="1:8" ht="18">
      <c r="A614" s="1008" t="s">
        <v>18</v>
      </c>
      <c r="B614" s="1019" t="s">
        <v>19</v>
      </c>
      <c r="C614" s="1020"/>
      <c r="D614" s="1011"/>
      <c r="E614" s="1011"/>
      <c r="F614" s="1021"/>
      <c r="G614" s="1022"/>
      <c r="H614" s="1007"/>
    </row>
    <row r="615" spans="1:8" ht="18">
      <c r="A615" s="1023"/>
      <c r="B615" s="1009" t="s">
        <v>1805</v>
      </c>
      <c r="C615" s="1010">
        <v>1</v>
      </c>
      <c r="D615" s="1011" t="s">
        <v>138</v>
      </c>
      <c r="E615" s="1011" t="s">
        <v>51</v>
      </c>
      <c r="F615" s="1022">
        <v>1800000</v>
      </c>
      <c r="G615" s="1022">
        <f>F615*C615</f>
        <v>1800000</v>
      </c>
      <c r="H615" s="1007"/>
    </row>
    <row r="616" spans="1:8" ht="18">
      <c r="A616" s="1023"/>
      <c r="B616" s="1009"/>
      <c r="C616" s="1010"/>
      <c r="D616" s="1011"/>
      <c r="E616" s="1011"/>
      <c r="F616" s="1022"/>
      <c r="G616" s="1022"/>
      <c r="H616" s="1007"/>
    </row>
    <row r="617" spans="1:8" ht="18">
      <c r="A617" s="1023"/>
      <c r="B617" s="1076" t="s">
        <v>1808</v>
      </c>
      <c r="C617" s="1022"/>
      <c r="D617" s="1011"/>
      <c r="E617" s="1011"/>
      <c r="F617" s="1022"/>
      <c r="G617" s="1022"/>
      <c r="H617" s="1007"/>
    </row>
    <row r="618" spans="1:8" ht="18">
      <c r="A618" s="1025"/>
      <c r="B618" s="1026"/>
      <c r="C618" s="1027"/>
      <c r="D618" s="1028"/>
      <c r="E618" s="1029"/>
      <c r="F618" s="1029" t="s">
        <v>25</v>
      </c>
      <c r="G618" s="1030">
        <f>SUM(G615:G615)</f>
        <v>1800000</v>
      </c>
      <c r="H618" s="1018"/>
    </row>
    <row r="619" spans="1:8" ht="18">
      <c r="A619" s="1031"/>
      <c r="B619" s="1032"/>
      <c r="C619" s="1033"/>
      <c r="D619" s="1033"/>
      <c r="E619" s="1034"/>
      <c r="F619" s="1035" t="s">
        <v>1151</v>
      </c>
      <c r="G619" s="1036">
        <f>G618/10</f>
        <v>180000</v>
      </c>
      <c r="H619" s="1037"/>
    </row>
    <row r="620" spans="1:8" ht="18">
      <c r="A620" s="1038"/>
      <c r="B620" s="1039"/>
      <c r="C620" s="1040"/>
      <c r="D620" s="1040"/>
      <c r="E620" s="1041"/>
      <c r="F620" s="1042"/>
      <c r="G620" s="1043"/>
      <c r="H620" s="1044">
        <f>G618+G619</f>
        <v>1980000</v>
      </c>
    </row>
    <row r="621" spans="1:8" ht="18">
      <c r="A621" s="1031"/>
      <c r="B621" s="1032"/>
      <c r="C621" s="1033"/>
      <c r="D621" s="1033"/>
      <c r="E621" s="1034"/>
      <c r="F621" s="1035"/>
      <c r="G621" s="1045"/>
      <c r="H621" s="1046"/>
    </row>
    <row r="622" spans="1:8" ht="18">
      <c r="A622" s="1047"/>
      <c r="B622" s="1048"/>
      <c r="C622" s="1048"/>
      <c r="D622" s="1048"/>
      <c r="E622" s="1048"/>
      <c r="F622" s="1049"/>
      <c r="G622" s="1050" t="s">
        <v>28</v>
      </c>
      <c r="H622" s="1006">
        <f>H620+H613</f>
        <v>19812500</v>
      </c>
    </row>
    <row r="623" spans="1:8" ht="18">
      <c r="A623" s="1051"/>
      <c r="B623" s="1052"/>
      <c r="C623" s="1053"/>
      <c r="D623" s="1053"/>
      <c r="E623" s="1053"/>
      <c r="F623" s="1054"/>
      <c r="G623" s="1055" t="s">
        <v>30</v>
      </c>
      <c r="H623" s="1056">
        <f>ROUND(H622,-3)</f>
        <v>19813000</v>
      </c>
    </row>
    <row r="624" spans="1:8" ht="15.6">
      <c r="A624" s="49"/>
      <c r="B624" s="49"/>
      <c r="C624" s="49"/>
      <c r="D624" s="49"/>
      <c r="E624" s="49"/>
      <c r="F624" s="49"/>
      <c r="G624" s="49"/>
      <c r="H624" s="50"/>
    </row>
    <row r="625" spans="1:8" ht="18">
      <c r="A625" s="768" t="s">
        <v>1150</v>
      </c>
      <c r="B625" s="49"/>
      <c r="C625" s="49"/>
      <c r="D625" s="49"/>
      <c r="E625" s="49"/>
      <c r="F625" s="49"/>
      <c r="G625" s="49"/>
      <c r="H625" s="50"/>
    </row>
    <row r="626" spans="1:8" ht="17.399999999999999">
      <c r="A626" s="49"/>
      <c r="B626" s="965" t="s">
        <v>1753</v>
      </c>
      <c r="C626" s="49"/>
      <c r="D626" s="49"/>
      <c r="E626" s="49"/>
      <c r="F626" s="49"/>
      <c r="G626" s="49"/>
      <c r="H626" s="50"/>
    </row>
    <row r="627" spans="1:8" ht="15.6">
      <c r="A627" s="49"/>
      <c r="B627" s="49"/>
      <c r="C627" s="49"/>
      <c r="D627" s="49"/>
      <c r="E627" s="49"/>
      <c r="F627" s="49"/>
      <c r="G627" s="49"/>
      <c r="H627" s="50"/>
    </row>
    <row r="628" spans="1:8" ht="18">
      <c r="A628" s="51"/>
      <c r="B628" s="51"/>
      <c r="C628" s="51"/>
      <c r="D628" s="51"/>
      <c r="E628" s="51"/>
      <c r="F628" s="51"/>
      <c r="G628" s="1530" t="s">
        <v>1806</v>
      </c>
      <c r="H628" s="1530"/>
    </row>
    <row r="629" spans="1:8" ht="18">
      <c r="A629" s="1530" t="s">
        <v>31</v>
      </c>
      <c r="B629" s="1530"/>
      <c r="C629" s="1530" t="s">
        <v>32</v>
      </c>
      <c r="D629" s="1530"/>
      <c r="E629" s="1530"/>
      <c r="F629" s="958"/>
      <c r="G629" s="1530" t="s">
        <v>33</v>
      </c>
      <c r="H629" s="1530"/>
    </row>
    <row r="630" spans="1:8" ht="18">
      <c r="A630" s="958"/>
      <c r="B630" s="958"/>
      <c r="C630" s="958"/>
      <c r="D630" s="958"/>
      <c r="E630" s="958"/>
      <c r="F630" s="958"/>
      <c r="G630" s="958"/>
      <c r="H630" s="958"/>
    </row>
    <row r="631" spans="1:8" ht="18">
      <c r="A631" s="958"/>
      <c r="B631" s="958"/>
      <c r="C631" s="958"/>
      <c r="D631" s="958"/>
      <c r="E631" s="958"/>
      <c r="F631" s="958"/>
      <c r="G631" s="958"/>
      <c r="H631" s="958"/>
    </row>
    <row r="632" spans="1:8" ht="18">
      <c r="A632" s="958"/>
      <c r="B632" s="958"/>
      <c r="C632" s="958"/>
      <c r="D632" s="958"/>
      <c r="E632" s="958"/>
      <c r="F632" s="958"/>
      <c r="G632" s="958"/>
      <c r="H632" s="958"/>
    </row>
    <row r="633" spans="1:8" ht="18">
      <c r="A633" s="1529" t="s">
        <v>1622</v>
      </c>
      <c r="B633" s="1529"/>
      <c r="C633" s="1529" t="s">
        <v>1603</v>
      </c>
      <c r="D633" s="1529"/>
      <c r="E633" s="1529"/>
      <c r="F633" s="958"/>
      <c r="G633" s="1529" t="s">
        <v>1661</v>
      </c>
      <c r="H633" s="1529"/>
    </row>
    <row r="634" spans="1:8" ht="18">
      <c r="A634" s="1530" t="s">
        <v>37</v>
      </c>
      <c r="B634" s="1530"/>
      <c r="C634" s="1530" t="s">
        <v>1604</v>
      </c>
      <c r="D634" s="1530"/>
      <c r="E634" s="1530"/>
      <c r="F634" s="958"/>
      <c r="G634" s="1530" t="s">
        <v>39</v>
      </c>
      <c r="H634" s="1530"/>
    </row>
    <row r="644" spans="1:8" ht="28.8">
      <c r="A644" s="597"/>
      <c r="B644" s="597"/>
      <c r="C644" s="1513" t="s">
        <v>1913</v>
      </c>
      <c r="D644" s="1513"/>
      <c r="E644" s="1513"/>
      <c r="F644" s="1513"/>
      <c r="G644" s="1513"/>
      <c r="H644" s="1513"/>
    </row>
    <row r="645" spans="1:8" ht="28.8">
      <c r="A645" s="597"/>
      <c r="B645" s="597"/>
      <c r="C645" s="1541" t="s">
        <v>2026</v>
      </c>
      <c r="D645" s="1541"/>
      <c r="E645" s="1541"/>
      <c r="F645" s="1541"/>
      <c r="G645" s="1541"/>
      <c r="H645" s="1541"/>
    </row>
    <row r="646" spans="1:8" ht="23.4">
      <c r="A646" s="830"/>
      <c r="B646" s="830"/>
      <c r="C646" s="1541" t="s">
        <v>2027</v>
      </c>
      <c r="D646" s="1541"/>
      <c r="E646" s="1541"/>
      <c r="F646" s="1541"/>
      <c r="G646" s="1541"/>
      <c r="H646" s="1541"/>
    </row>
    <row r="647" spans="1:8" ht="15.6">
      <c r="A647" s="769"/>
      <c r="B647" s="769"/>
      <c r="C647" s="769"/>
      <c r="D647" s="769"/>
      <c r="E647" s="769"/>
      <c r="F647" s="769"/>
      <c r="G647" s="769"/>
      <c r="H647" s="769"/>
    </row>
    <row r="648" spans="1:8" ht="16.2" thickBot="1">
      <c r="A648" s="769"/>
      <c r="B648" s="769"/>
      <c r="C648" s="769"/>
      <c r="D648" s="769"/>
      <c r="E648" s="769"/>
      <c r="F648" s="769"/>
      <c r="G648" s="769"/>
      <c r="H648" s="769"/>
    </row>
    <row r="649" spans="1:8" ht="18.600000000000001" thickTop="1">
      <c r="A649" s="1556" t="s">
        <v>3</v>
      </c>
      <c r="B649" s="1554" t="s">
        <v>4</v>
      </c>
      <c r="C649" s="1554" t="s">
        <v>5</v>
      </c>
      <c r="D649" s="1554" t="s">
        <v>6</v>
      </c>
      <c r="E649" s="1554" t="s">
        <v>7</v>
      </c>
      <c r="F649" s="1190" t="s">
        <v>8</v>
      </c>
      <c r="G649" s="1190" t="s">
        <v>9</v>
      </c>
      <c r="H649" s="1191" t="s">
        <v>10</v>
      </c>
    </row>
    <row r="650" spans="1:8" ht="18.600000000000001" thickBot="1">
      <c r="A650" s="1557"/>
      <c r="B650" s="1555"/>
      <c r="C650" s="1555"/>
      <c r="D650" s="1555"/>
      <c r="E650" s="1555"/>
      <c r="F650" s="1211" t="s">
        <v>11</v>
      </c>
      <c r="G650" s="1211" t="s">
        <v>11</v>
      </c>
      <c r="H650" s="1212" t="s">
        <v>11</v>
      </c>
    </row>
    <row r="651" spans="1:8" ht="18.600000000000001" thickTop="1">
      <c r="A651" s="1192"/>
      <c r="B651" s="1019"/>
      <c r="C651" s="1037"/>
      <c r="D651" s="1021"/>
      <c r="E651" s="1021"/>
      <c r="F651" s="1021"/>
      <c r="G651" s="1018"/>
      <c r="H651" s="1196"/>
    </row>
    <row r="652" spans="1:8" ht="18">
      <c r="A652" s="1192" t="s">
        <v>12</v>
      </c>
      <c r="B652" s="1019" t="s">
        <v>13</v>
      </c>
      <c r="C652" s="1010"/>
      <c r="D652" s="1011"/>
      <c r="E652" s="1011"/>
      <c r="F652" s="1012"/>
      <c r="G652" s="1012"/>
      <c r="H652" s="1193"/>
    </row>
    <row r="653" spans="1:8" ht="18">
      <c r="A653" s="1213">
        <v>1</v>
      </c>
      <c r="B653" s="1021" t="s">
        <v>2172</v>
      </c>
      <c r="C653" s="1059">
        <v>2</v>
      </c>
      <c r="D653" s="1011" t="s">
        <v>44</v>
      </c>
      <c r="E653" s="1011" t="s">
        <v>82</v>
      </c>
      <c r="F653" s="1012">
        <v>254100</v>
      </c>
      <c r="G653" s="1060">
        <f>F653*C653</f>
        <v>508200</v>
      </c>
      <c r="H653" s="1193"/>
    </row>
    <row r="654" spans="1:8" ht="18">
      <c r="A654" s="1213">
        <v>2</v>
      </c>
      <c r="B654" s="1021" t="s">
        <v>2173</v>
      </c>
      <c r="C654" s="1059">
        <v>1</v>
      </c>
      <c r="D654" s="1011" t="s">
        <v>44</v>
      </c>
      <c r="E654" s="1011" t="s">
        <v>82</v>
      </c>
      <c r="F654" s="1012">
        <v>996300</v>
      </c>
      <c r="G654" s="1060">
        <f>F654*C654</f>
        <v>996300</v>
      </c>
      <c r="H654" s="1193"/>
    </row>
    <row r="655" spans="1:8" ht="18">
      <c r="A655" s="1213">
        <v>3</v>
      </c>
      <c r="B655" s="1021" t="s">
        <v>2166</v>
      </c>
      <c r="C655" s="1059">
        <v>1</v>
      </c>
      <c r="D655" s="1011" t="s">
        <v>1665</v>
      </c>
      <c r="E655" s="1011" t="s">
        <v>82</v>
      </c>
      <c r="F655" s="1012">
        <v>220000</v>
      </c>
      <c r="G655" s="1060">
        <f>F655*C655</f>
        <v>220000</v>
      </c>
      <c r="H655" s="1193"/>
    </row>
    <row r="656" spans="1:8" ht="18">
      <c r="A656" s="1213">
        <v>4</v>
      </c>
      <c r="B656" s="1021" t="s">
        <v>2175</v>
      </c>
      <c r="C656" s="1059">
        <v>0.1</v>
      </c>
      <c r="D656" s="1011" t="s">
        <v>1665</v>
      </c>
      <c r="E656" s="1011" t="s">
        <v>1937</v>
      </c>
      <c r="F656" s="1012">
        <v>303066</v>
      </c>
      <c r="G656" s="1060">
        <f>F656*C656</f>
        <v>30306.600000000002</v>
      </c>
      <c r="H656" s="1193"/>
    </row>
    <row r="657" spans="1:8" ht="18.600000000000001" thickBot="1">
      <c r="A657" s="1213">
        <v>5</v>
      </c>
      <c r="B657" s="1021" t="s">
        <v>2028</v>
      </c>
      <c r="C657" s="1059">
        <v>16</v>
      </c>
      <c r="D657" s="1011" t="s">
        <v>44</v>
      </c>
      <c r="E657" s="1011" t="s">
        <v>82</v>
      </c>
      <c r="F657" s="1012">
        <v>4300</v>
      </c>
      <c r="G657" s="1060">
        <f>F657*C657</f>
        <v>68800</v>
      </c>
      <c r="H657" s="1193"/>
    </row>
    <row r="658" spans="1:8" ht="19.2" thickTop="1" thickBot="1">
      <c r="A658" s="1192"/>
      <c r="B658" s="1021"/>
      <c r="C658" s="1059"/>
      <c r="D658" s="1011"/>
      <c r="E658" s="1011"/>
      <c r="F658" s="1012"/>
      <c r="G658" s="1012"/>
      <c r="H658" s="1194">
        <f>SUM(G653:G657)</f>
        <v>1823606.6</v>
      </c>
    </row>
    <row r="659" spans="1:8" ht="18.600000000000001" thickTop="1">
      <c r="A659" s="1192" t="s">
        <v>18</v>
      </c>
      <c r="B659" s="1019" t="s">
        <v>19</v>
      </c>
      <c r="C659" s="1059"/>
      <c r="D659" s="1011"/>
      <c r="E659" s="1011"/>
      <c r="F659" s="1012"/>
      <c r="G659" s="1012"/>
      <c r="H659" s="1193"/>
    </row>
    <row r="660" spans="1:8" ht="18">
      <c r="A660" s="1213">
        <v>1</v>
      </c>
      <c r="B660" s="1021" t="s">
        <v>2167</v>
      </c>
      <c r="C660" s="1059">
        <v>1</v>
      </c>
      <c r="D660" s="1011" t="s">
        <v>44</v>
      </c>
      <c r="E660" s="1011" t="s">
        <v>51</v>
      </c>
      <c r="F660" s="1012">
        <v>200000</v>
      </c>
      <c r="G660" s="1060">
        <f>F660*C660</f>
        <v>200000</v>
      </c>
      <c r="H660" s="1193"/>
    </row>
    <row r="661" spans="1:8" ht="18">
      <c r="A661" s="1213">
        <v>2</v>
      </c>
      <c r="B661" s="1021" t="s">
        <v>2178</v>
      </c>
      <c r="C661" s="1059">
        <v>1.88</v>
      </c>
      <c r="D661" s="1011" t="s">
        <v>1665</v>
      </c>
      <c r="E661" s="1011" t="s">
        <v>82</v>
      </c>
      <c r="F661" s="1012">
        <v>321562.5</v>
      </c>
      <c r="G661" s="1060">
        <f>F661*C661</f>
        <v>604537.5</v>
      </c>
      <c r="H661" s="1193"/>
    </row>
    <row r="662" spans="1:8" ht="18">
      <c r="A662" s="1213">
        <v>3</v>
      </c>
      <c r="B662" s="1021" t="s">
        <v>2177</v>
      </c>
      <c r="C662" s="1059">
        <v>0.94</v>
      </c>
      <c r="D662" s="1011" t="s">
        <v>1665</v>
      </c>
      <c r="E662" s="1011" t="s">
        <v>82</v>
      </c>
      <c r="F662" s="1012">
        <v>321562.5</v>
      </c>
      <c r="G662" s="1060">
        <f>F662*C662</f>
        <v>302268.75</v>
      </c>
      <c r="H662" s="1193"/>
    </row>
    <row r="663" spans="1:8" ht="18">
      <c r="A663" s="1213">
        <v>4</v>
      </c>
      <c r="B663" s="1021" t="s">
        <v>2176</v>
      </c>
      <c r="C663" s="1059">
        <v>1.25</v>
      </c>
      <c r="D663" s="1011" t="s">
        <v>1665</v>
      </c>
      <c r="E663" s="1011" t="s">
        <v>82</v>
      </c>
      <c r="F663" s="1012">
        <v>79987.5</v>
      </c>
      <c r="G663" s="1060">
        <f>F663*C663</f>
        <v>99984.375</v>
      </c>
      <c r="H663" s="1193"/>
    </row>
    <row r="664" spans="1:8" ht="18">
      <c r="A664" s="1213">
        <v>5</v>
      </c>
      <c r="B664" s="1021" t="s">
        <v>2168</v>
      </c>
      <c r="C664" s="1059" t="s">
        <v>126</v>
      </c>
      <c r="D664" s="1011" t="s">
        <v>126</v>
      </c>
      <c r="E664" s="1011" t="s">
        <v>51</v>
      </c>
      <c r="F664" s="1012">
        <v>50000</v>
      </c>
      <c r="G664" s="1060">
        <f>F664</f>
        <v>50000</v>
      </c>
      <c r="H664" s="1193"/>
    </row>
    <row r="665" spans="1:8" ht="18">
      <c r="A665" s="1213">
        <v>6</v>
      </c>
      <c r="B665" s="1021" t="s">
        <v>2174</v>
      </c>
      <c r="C665" s="1059">
        <v>0.13</v>
      </c>
      <c r="D665" s="1011" t="s">
        <v>84</v>
      </c>
      <c r="E665" s="1011" t="s">
        <v>2108</v>
      </c>
      <c r="F665" s="1012">
        <v>46587.5</v>
      </c>
      <c r="G665" s="1060">
        <f>F665*C665</f>
        <v>6056.375</v>
      </c>
      <c r="H665" s="1193"/>
    </row>
    <row r="666" spans="1:8" ht="18">
      <c r="A666" s="1195"/>
      <c r="B666" s="1024"/>
      <c r="C666" s="1022"/>
      <c r="D666" s="1011"/>
      <c r="E666" s="1011"/>
      <c r="F666" s="1022"/>
      <c r="G666" s="1022"/>
      <c r="H666" s="1196"/>
    </row>
    <row r="667" spans="1:8" ht="18">
      <c r="A667" s="1197"/>
      <c r="B667" s="1026"/>
      <c r="C667" s="1027"/>
      <c r="D667" s="1028"/>
      <c r="E667" s="1029"/>
      <c r="F667" s="1029" t="s">
        <v>25</v>
      </c>
      <c r="G667" s="1030">
        <f>SUM(G660:G666)</f>
        <v>1262847</v>
      </c>
      <c r="H667" s="1198"/>
    </row>
    <row r="668" spans="1:8" ht="18.600000000000001" thickBot="1">
      <c r="A668" s="1199"/>
      <c r="B668" s="1032"/>
      <c r="C668" s="1033"/>
      <c r="D668" s="1033"/>
      <c r="E668" s="1034"/>
      <c r="F668" s="1035" t="s">
        <v>1151</v>
      </c>
      <c r="G668" s="1036">
        <f>G667/10</f>
        <v>126284.7</v>
      </c>
      <c r="H668" s="1200"/>
    </row>
    <row r="669" spans="1:8" ht="18.600000000000001" thickTop="1">
      <c r="A669" s="1201"/>
      <c r="B669" s="1039"/>
      <c r="C669" s="1040"/>
      <c r="D669" s="1040"/>
      <c r="E669" s="1041"/>
      <c r="F669" s="1042"/>
      <c r="G669" s="1043"/>
      <c r="H669" s="1353">
        <f>G667+G668</f>
        <v>1389131.7</v>
      </c>
    </row>
    <row r="670" spans="1:8" ht="18">
      <c r="A670" s="1199"/>
      <c r="B670" s="1032"/>
      <c r="C670" s="1033"/>
      <c r="D670" s="1033"/>
      <c r="E670" s="1034"/>
      <c r="F670" s="1035"/>
      <c r="G670" s="1045"/>
      <c r="H670" s="1202"/>
    </row>
    <row r="671" spans="1:8" ht="18">
      <c r="A671" s="1203"/>
      <c r="B671" s="1048"/>
      <c r="C671" s="1048"/>
      <c r="D671" s="1048"/>
      <c r="E671" s="1048"/>
      <c r="F671" s="1049"/>
      <c r="G671" s="1050" t="s">
        <v>28</v>
      </c>
      <c r="H671" s="1204">
        <f>H669+H658</f>
        <v>3212738.3</v>
      </c>
    </row>
    <row r="672" spans="1:8" ht="18.600000000000001" thickBot="1">
      <c r="A672" s="1205"/>
      <c r="B672" s="1206"/>
      <c r="C672" s="1207"/>
      <c r="D672" s="1207"/>
      <c r="E672" s="1207"/>
      <c r="F672" s="1208"/>
      <c r="G672" s="1209" t="s">
        <v>30</v>
      </c>
      <c r="H672" s="1210">
        <f>ROUND(H671,-3)</f>
        <v>3213000</v>
      </c>
    </row>
    <row r="673" spans="1:8" ht="16.2" thickTop="1">
      <c r="A673" s="49"/>
      <c r="B673" s="49"/>
      <c r="C673" s="49"/>
      <c r="D673" s="49"/>
      <c r="E673" s="49"/>
      <c r="F673" s="49"/>
      <c r="G673" s="49"/>
      <c r="H673" s="50"/>
    </row>
    <row r="674" spans="1:8" ht="18">
      <c r="A674" s="768" t="s">
        <v>1150</v>
      </c>
      <c r="B674" s="49"/>
      <c r="C674" s="49"/>
      <c r="D674" s="49"/>
      <c r="E674" s="49"/>
      <c r="F674" s="49"/>
      <c r="G674" s="49"/>
      <c r="H674" s="50"/>
    </row>
    <row r="675" spans="1:8" ht="17.399999999999999">
      <c r="A675" s="49"/>
      <c r="B675" s="965" t="s">
        <v>2179</v>
      </c>
      <c r="C675" s="49"/>
      <c r="D675" s="49"/>
      <c r="E675" s="49"/>
      <c r="F675" s="49"/>
      <c r="G675" s="49"/>
      <c r="H675" s="50"/>
    </row>
    <row r="676" spans="1:8" ht="15.6">
      <c r="A676" s="49"/>
      <c r="B676" s="49"/>
      <c r="C676" s="49"/>
      <c r="D676" s="49"/>
      <c r="E676" s="49"/>
      <c r="F676" s="49"/>
      <c r="G676" s="49"/>
      <c r="H676" s="50"/>
    </row>
    <row r="677" spans="1:8" ht="18">
      <c r="A677" s="958"/>
      <c r="B677" s="958"/>
      <c r="C677" s="958"/>
      <c r="D677" s="958"/>
      <c r="E677" s="958"/>
      <c r="F677" s="958"/>
      <c r="G677" s="1530" t="s">
        <v>2169</v>
      </c>
      <c r="H677" s="1530"/>
    </row>
    <row r="678" spans="1:8" ht="18">
      <c r="A678" s="1530" t="s">
        <v>31</v>
      </c>
      <c r="B678" s="1530"/>
      <c r="C678" s="1530" t="s">
        <v>32</v>
      </c>
      <c r="D678" s="1530"/>
      <c r="E678" s="1530"/>
      <c r="F678" s="958"/>
      <c r="G678" s="1530" t="s">
        <v>33</v>
      </c>
      <c r="H678" s="1530"/>
    </row>
    <row r="679" spans="1:8" ht="18">
      <c r="A679" s="958"/>
      <c r="B679" s="958"/>
      <c r="C679" s="958"/>
      <c r="D679" s="958"/>
      <c r="E679" s="958"/>
      <c r="F679" s="958"/>
      <c r="G679" s="958"/>
      <c r="H679" s="958"/>
    </row>
    <row r="680" spans="1:8" ht="18">
      <c r="A680" s="958"/>
      <c r="B680" s="958"/>
      <c r="C680" s="958"/>
      <c r="D680" s="958"/>
      <c r="E680" s="958"/>
      <c r="F680" s="958"/>
      <c r="G680" s="958"/>
      <c r="H680" s="958"/>
    </row>
    <row r="681" spans="1:8" ht="18">
      <c r="A681" s="958"/>
      <c r="B681" s="958"/>
      <c r="C681" s="958"/>
      <c r="D681" s="958"/>
      <c r="E681" s="958"/>
      <c r="F681" s="958"/>
      <c r="G681" s="958"/>
      <c r="H681" s="958"/>
    </row>
    <row r="682" spans="1:8" ht="18">
      <c r="A682" s="1529" t="s">
        <v>1622</v>
      </c>
      <c r="B682" s="1529"/>
      <c r="C682" s="1529" t="s">
        <v>1603</v>
      </c>
      <c r="D682" s="1529"/>
      <c r="E682" s="1529"/>
      <c r="F682" s="958"/>
      <c r="G682" s="1529" t="s">
        <v>1778</v>
      </c>
      <c r="H682" s="1529"/>
    </row>
    <row r="683" spans="1:8" ht="18">
      <c r="A683" s="1530" t="s">
        <v>37</v>
      </c>
      <c r="B683" s="1530"/>
      <c r="C683" s="1530" t="s">
        <v>1604</v>
      </c>
      <c r="D683" s="1530"/>
      <c r="E683" s="1530"/>
      <c r="F683" s="958"/>
      <c r="G683" s="1530" t="s">
        <v>39</v>
      </c>
      <c r="H683" s="1530"/>
    </row>
    <row r="684" spans="1:8" ht="15.6">
      <c r="A684" s="602"/>
      <c r="B684" s="602"/>
      <c r="C684" s="602"/>
      <c r="D684" s="602"/>
      <c r="E684" s="602"/>
      <c r="F684" s="51"/>
      <c r="G684" s="602"/>
      <c r="H684" s="602"/>
    </row>
    <row r="685" spans="1:8" ht="15.6">
      <c r="A685" s="808"/>
      <c r="B685" s="808"/>
      <c r="C685" s="808"/>
      <c r="D685" s="808"/>
      <c r="E685" s="808"/>
      <c r="F685" s="808"/>
      <c r="G685" s="808"/>
      <c r="H685" s="808"/>
    </row>
    <row r="686" spans="1:8" ht="25.8">
      <c r="A686" s="1187"/>
      <c r="B686" s="1187"/>
      <c r="C686" s="1526" t="s">
        <v>1667</v>
      </c>
      <c r="D686" s="1526"/>
      <c r="E686" s="1526"/>
      <c r="F686" s="1526"/>
      <c r="G686" s="1526"/>
      <c r="H686" s="1526"/>
    </row>
    <row r="687" spans="1:8" ht="25.8">
      <c r="A687" s="1187"/>
      <c r="B687" s="1187"/>
      <c r="C687" s="1525" t="s">
        <v>1668</v>
      </c>
      <c r="D687" s="1525"/>
      <c r="E687" s="1525"/>
      <c r="F687" s="1525"/>
      <c r="G687" s="1525"/>
      <c r="H687" s="1525"/>
    </row>
    <row r="688" spans="1:8" ht="25.8">
      <c r="A688" s="1187"/>
      <c r="B688" s="1187"/>
      <c r="C688" s="1525" t="s">
        <v>2025</v>
      </c>
      <c r="D688" s="1525"/>
      <c r="E688" s="1525"/>
      <c r="F688" s="1525"/>
      <c r="G688" s="1525"/>
      <c r="H688" s="1525"/>
    </row>
    <row r="689" spans="1:8" ht="25.8">
      <c r="A689" s="1187"/>
      <c r="B689" s="1187"/>
      <c r="C689" s="1525" t="s">
        <v>889</v>
      </c>
      <c r="D689" s="1525"/>
      <c r="E689" s="1525"/>
      <c r="F689" s="1525"/>
      <c r="G689" s="1525"/>
      <c r="H689" s="1525"/>
    </row>
    <row r="690" spans="1:8" ht="15.6">
      <c r="A690" s="769"/>
      <c r="B690" s="769"/>
      <c r="C690" s="769"/>
      <c r="D690" s="769"/>
      <c r="E690" s="769"/>
      <c r="F690" s="769"/>
      <c r="G690" s="769"/>
      <c r="H690" s="769"/>
    </row>
    <row r="691" spans="1:8" ht="15.6">
      <c r="A691" s="769"/>
      <c r="B691" s="769"/>
      <c r="C691" s="769"/>
      <c r="D691" s="769"/>
      <c r="E691" s="769"/>
      <c r="F691" s="769"/>
      <c r="G691" s="769"/>
      <c r="H691" s="769"/>
    </row>
    <row r="692" spans="1:8" ht="18">
      <c r="A692" s="1531" t="s">
        <v>3</v>
      </c>
      <c r="B692" s="1531" t="s">
        <v>4</v>
      </c>
      <c r="C692" s="1531" t="s">
        <v>5</v>
      </c>
      <c r="D692" s="1531" t="s">
        <v>6</v>
      </c>
      <c r="E692" s="1531" t="s">
        <v>7</v>
      </c>
      <c r="F692" s="1001" t="s">
        <v>8</v>
      </c>
      <c r="G692" s="1001" t="s">
        <v>9</v>
      </c>
      <c r="H692" s="1001" t="s">
        <v>10</v>
      </c>
    </row>
    <row r="693" spans="1:8" ht="18">
      <c r="A693" s="1532"/>
      <c r="B693" s="1532"/>
      <c r="C693" s="1532"/>
      <c r="D693" s="1532"/>
      <c r="E693" s="1532"/>
      <c r="F693" s="1002" t="s">
        <v>11</v>
      </c>
      <c r="G693" s="1002" t="s">
        <v>11</v>
      </c>
      <c r="H693" s="1002" t="s">
        <v>11</v>
      </c>
    </row>
    <row r="694" spans="1:8" ht="18">
      <c r="A694" s="1001"/>
      <c r="B694" s="1003"/>
      <c r="C694" s="1004"/>
      <c r="D694" s="1005"/>
      <c r="E694" s="1005"/>
      <c r="F694" s="1005"/>
      <c r="G694" s="1006"/>
      <c r="H694" s="1057"/>
    </row>
    <row r="695" spans="1:8" ht="18">
      <c r="A695" s="1008" t="s">
        <v>12</v>
      </c>
      <c r="B695" s="1021" t="s">
        <v>13</v>
      </c>
      <c r="C695" s="1010"/>
      <c r="D695" s="1011"/>
      <c r="E695" s="1011"/>
      <c r="F695" s="1012"/>
      <c r="G695" s="1012"/>
      <c r="H695" s="1058"/>
    </row>
    <row r="696" spans="1:8" ht="18">
      <c r="A696" s="1008"/>
      <c r="B696" s="1009" t="s">
        <v>1669</v>
      </c>
      <c r="C696" s="1010">
        <v>2</v>
      </c>
      <c r="D696" s="1011" t="s">
        <v>44</v>
      </c>
      <c r="E696" s="1011" t="s">
        <v>16</v>
      </c>
      <c r="F696" s="1012">
        <v>2150000</v>
      </c>
      <c r="G696" s="1060">
        <f>F696*C696</f>
        <v>4300000</v>
      </c>
      <c r="H696" s="1058"/>
    </row>
    <row r="697" spans="1:8" ht="18">
      <c r="A697" s="1008"/>
      <c r="B697" s="1021" t="s">
        <v>1670</v>
      </c>
      <c r="C697" s="1010"/>
      <c r="D697" s="1011"/>
      <c r="E697" s="1011"/>
      <c r="F697" s="1012"/>
      <c r="G697" s="1060"/>
      <c r="H697" s="1058"/>
    </row>
    <row r="698" spans="1:8" ht="18">
      <c r="A698" s="1008"/>
      <c r="B698" s="1009" t="s">
        <v>1671</v>
      </c>
      <c r="C698" s="1010">
        <v>6</v>
      </c>
      <c r="D698" s="1011" t="s">
        <v>245</v>
      </c>
      <c r="E698" s="1011" t="s">
        <v>82</v>
      </c>
      <c r="F698" s="1012">
        <v>3418</v>
      </c>
      <c r="G698" s="1060">
        <f>F698*C698</f>
        <v>20508</v>
      </c>
      <c r="H698" s="1058"/>
    </row>
    <row r="699" spans="1:8" ht="18">
      <c r="A699" s="1008"/>
      <c r="B699" s="1009" t="s">
        <v>1672</v>
      </c>
      <c r="C699" s="1010">
        <v>3</v>
      </c>
      <c r="D699" s="1011" t="s">
        <v>44</v>
      </c>
      <c r="E699" s="1011" t="s">
        <v>82</v>
      </c>
      <c r="F699" s="1012">
        <v>39776</v>
      </c>
      <c r="G699" s="1060">
        <f>F699*C699</f>
        <v>119328</v>
      </c>
      <c r="H699" s="1058"/>
    </row>
    <row r="700" spans="1:8" ht="18">
      <c r="A700" s="1008"/>
      <c r="B700" s="1009" t="s">
        <v>1673</v>
      </c>
      <c r="C700" s="1010">
        <v>2</v>
      </c>
      <c r="D700" s="1011" t="s">
        <v>44</v>
      </c>
      <c r="E700" s="1011" t="s">
        <v>16</v>
      </c>
      <c r="F700" s="1012">
        <v>18000</v>
      </c>
      <c r="G700" s="1060">
        <f>F700*C700</f>
        <v>36000</v>
      </c>
      <c r="H700" s="1058"/>
    </row>
    <row r="701" spans="1:8" ht="18">
      <c r="A701" s="1008"/>
      <c r="B701" s="1009" t="s">
        <v>1748</v>
      </c>
      <c r="C701" s="1010">
        <v>2</v>
      </c>
      <c r="D701" s="1011" t="s">
        <v>1374</v>
      </c>
      <c r="E701" s="1011" t="s">
        <v>82</v>
      </c>
      <c r="F701" s="1012">
        <v>8000</v>
      </c>
      <c r="G701" s="1012">
        <f>F701*C701</f>
        <v>16000</v>
      </c>
      <c r="H701" s="1058"/>
    </row>
    <row r="702" spans="1:8" ht="18">
      <c r="A702" s="1008"/>
      <c r="B702" s="1021"/>
      <c r="C702" s="1010"/>
      <c r="D702" s="1011"/>
      <c r="E702" s="1011"/>
      <c r="F702" s="1012"/>
      <c r="G702" s="1012"/>
      <c r="H702" s="1061">
        <f>SUM(G696:G701)</f>
        <v>4491836</v>
      </c>
    </row>
    <row r="703" spans="1:8" ht="18">
      <c r="A703" s="1008" t="s">
        <v>18</v>
      </c>
      <c r="B703" s="1021" t="s">
        <v>19</v>
      </c>
      <c r="C703" s="1010"/>
      <c r="D703" s="1011"/>
      <c r="E703" s="1011"/>
      <c r="F703" s="1012"/>
      <c r="G703" s="1012"/>
      <c r="H703" s="1058"/>
    </row>
    <row r="704" spans="1:8" ht="18">
      <c r="A704" s="1008"/>
      <c r="B704" s="1009" t="s">
        <v>1674</v>
      </c>
      <c r="C704" s="1010">
        <v>1</v>
      </c>
      <c r="D704" s="1011" t="s">
        <v>69</v>
      </c>
      <c r="E704" s="1011" t="s">
        <v>16</v>
      </c>
      <c r="F704" s="1012">
        <v>200000</v>
      </c>
      <c r="G704" s="1060">
        <f>F704*C704</f>
        <v>200000</v>
      </c>
      <c r="H704" s="1058"/>
    </row>
    <row r="705" spans="1:8" ht="18">
      <c r="A705" s="1008"/>
      <c r="B705" s="1009" t="s">
        <v>1716</v>
      </c>
      <c r="C705" s="1010">
        <f>2*4*0.3</f>
        <v>2.4</v>
      </c>
      <c r="D705" s="1011" t="s">
        <v>81</v>
      </c>
      <c r="E705" s="1011" t="s">
        <v>82</v>
      </c>
      <c r="F705" s="1012">
        <v>940197</v>
      </c>
      <c r="G705" s="1060">
        <f>F705*C705</f>
        <v>2256472.7999999998</v>
      </c>
      <c r="H705" s="1058"/>
    </row>
    <row r="706" spans="1:8" ht="18">
      <c r="A706" s="1008"/>
      <c r="B706" s="1009" t="s">
        <v>1681</v>
      </c>
      <c r="C706" s="1010">
        <v>12</v>
      </c>
      <c r="D706" s="1011" t="s">
        <v>84</v>
      </c>
      <c r="E706" s="1011" t="s">
        <v>16</v>
      </c>
      <c r="F706" s="1012">
        <v>450000</v>
      </c>
      <c r="G706" s="1060">
        <f>F706*C706</f>
        <v>5400000</v>
      </c>
      <c r="H706" s="1058"/>
    </row>
    <row r="707" spans="1:8" ht="18">
      <c r="A707" s="1008"/>
      <c r="B707" s="1021" t="s">
        <v>1675</v>
      </c>
      <c r="C707" s="1010"/>
      <c r="D707" s="1011"/>
      <c r="E707" s="1011"/>
      <c r="F707" s="1012"/>
      <c r="G707" s="1060"/>
      <c r="H707" s="1058"/>
    </row>
    <row r="708" spans="1:8" ht="18">
      <c r="A708" s="1008"/>
      <c r="B708" s="1009" t="s">
        <v>1717</v>
      </c>
      <c r="C708" s="1010">
        <v>4</v>
      </c>
      <c r="D708" s="1011" t="s">
        <v>44</v>
      </c>
      <c r="E708" s="1011" t="s">
        <v>51</v>
      </c>
      <c r="F708" s="1012">
        <v>150000</v>
      </c>
      <c r="G708" s="1060">
        <f>F708*C708</f>
        <v>600000</v>
      </c>
      <c r="H708" s="1058"/>
    </row>
    <row r="709" spans="1:8" ht="18">
      <c r="A709" s="1008"/>
      <c r="B709" s="1009" t="s">
        <v>1676</v>
      </c>
      <c r="C709" s="1010">
        <v>1</v>
      </c>
      <c r="D709" s="1011" t="s">
        <v>69</v>
      </c>
      <c r="E709" s="1011" t="s">
        <v>16</v>
      </c>
      <c r="F709" s="1012">
        <v>450000</v>
      </c>
      <c r="G709" s="1060">
        <f>F709*C709</f>
        <v>450000</v>
      </c>
      <c r="H709" s="1058"/>
    </row>
    <row r="710" spans="1:8" ht="18">
      <c r="A710" s="1008"/>
      <c r="B710" s="1009" t="s">
        <v>1718</v>
      </c>
      <c r="C710" s="1010">
        <v>3.6</v>
      </c>
      <c r="D710" s="1011" t="s">
        <v>245</v>
      </c>
      <c r="E710" s="1011" t="s">
        <v>82</v>
      </c>
      <c r="F710" s="1012">
        <v>230775</v>
      </c>
      <c r="G710" s="1060">
        <f>F710*C710</f>
        <v>830790</v>
      </c>
      <c r="H710" s="1058"/>
    </row>
    <row r="711" spans="1:8" ht="18">
      <c r="A711" s="1008"/>
      <c r="B711" s="1009"/>
      <c r="C711" s="1010"/>
      <c r="D711" s="1011"/>
      <c r="E711" s="1011"/>
      <c r="F711" s="1012"/>
      <c r="G711" s="1060"/>
      <c r="H711" s="1058"/>
    </row>
    <row r="712" spans="1:8" ht="18">
      <c r="A712" s="1008"/>
      <c r="B712" s="1009"/>
      <c r="C712" s="1010"/>
      <c r="D712" s="1011"/>
      <c r="E712" s="1011"/>
      <c r="F712" s="1012"/>
      <c r="G712" s="1060"/>
      <c r="H712" s="1058"/>
    </row>
    <row r="713" spans="1:8" ht="18">
      <c r="A713" s="1023"/>
      <c r="B713" s="1024"/>
      <c r="C713" s="1022"/>
      <c r="D713" s="1011"/>
      <c r="E713" s="1011"/>
      <c r="F713" s="1022"/>
      <c r="G713" s="1022"/>
      <c r="H713" s="1007"/>
    </row>
    <row r="714" spans="1:8" ht="18">
      <c r="A714" s="1025"/>
      <c r="B714" s="1026"/>
      <c r="C714" s="1027"/>
      <c r="D714" s="1028"/>
      <c r="E714" s="1029"/>
      <c r="F714" s="1029" t="s">
        <v>25</v>
      </c>
      <c r="G714" s="1030">
        <f>SUM(G704:G713)</f>
        <v>9737262.8000000007</v>
      </c>
      <c r="H714" s="1018"/>
    </row>
    <row r="715" spans="1:8" ht="18">
      <c r="A715" s="1031"/>
      <c r="B715" s="1032"/>
      <c r="C715" s="1033"/>
      <c r="D715" s="1033"/>
      <c r="E715" s="1034"/>
      <c r="F715" s="1035" t="s">
        <v>1151</v>
      </c>
      <c r="G715" s="1036">
        <f>G714*10%</f>
        <v>973726.28000000014</v>
      </c>
      <c r="H715" s="1037"/>
    </row>
    <row r="716" spans="1:8" ht="18">
      <c r="A716" s="1038"/>
      <c r="B716" s="1039"/>
      <c r="C716" s="1040"/>
      <c r="D716" s="1040"/>
      <c r="E716" s="1041"/>
      <c r="F716" s="1042"/>
      <c r="G716" s="1043"/>
      <c r="H716" s="1044">
        <f>G714+G715</f>
        <v>10710989.08</v>
      </c>
    </row>
    <row r="717" spans="1:8" ht="18">
      <c r="A717" s="1031"/>
      <c r="B717" s="1032"/>
      <c r="C717" s="1033"/>
      <c r="D717" s="1033"/>
      <c r="E717" s="1034"/>
      <c r="F717" s="1035"/>
      <c r="G717" s="1036" t="s">
        <v>503</v>
      </c>
      <c r="H717" s="1046">
        <f>H716+H702</f>
        <v>15202825.08</v>
      </c>
    </row>
    <row r="718" spans="1:8" ht="18">
      <c r="A718" s="1031"/>
      <c r="B718" s="1032"/>
      <c r="C718" s="1033"/>
      <c r="D718" s="1033"/>
      <c r="E718" s="1034"/>
      <c r="F718" s="1574" t="s">
        <v>2162</v>
      </c>
      <c r="G718" s="1575"/>
      <c r="H718" s="1046">
        <f>H717*2</f>
        <v>30405650.16</v>
      </c>
    </row>
    <row r="719" spans="1:8" ht="18">
      <c r="A719" s="1047"/>
      <c r="B719" s="1048"/>
      <c r="C719" s="1048"/>
      <c r="D719" s="1048"/>
      <c r="E719" s="1048"/>
      <c r="F719" s="1049"/>
      <c r="G719" s="1050" t="s">
        <v>28</v>
      </c>
      <c r="H719" s="1006">
        <f>H718</f>
        <v>30405650.16</v>
      </c>
    </row>
    <row r="720" spans="1:8" ht="18">
      <c r="A720" s="1051"/>
      <c r="B720" s="1052"/>
      <c r="C720" s="1053"/>
      <c r="D720" s="1053"/>
      <c r="E720" s="1053"/>
      <c r="F720" s="1054"/>
      <c r="G720" s="1055" t="s">
        <v>30</v>
      </c>
      <c r="H720" s="1056">
        <f>ROUND(H719,-2)</f>
        <v>30405700</v>
      </c>
    </row>
    <row r="721" spans="1:8" ht="18">
      <c r="A721" s="1138"/>
      <c r="B721" s="1138"/>
      <c r="C721" s="1138"/>
      <c r="D721" s="1138"/>
      <c r="E721" s="1138"/>
      <c r="F721" s="1138"/>
      <c r="G721" s="1138"/>
      <c r="H721" s="1139"/>
    </row>
    <row r="722" spans="1:8" ht="18">
      <c r="A722" s="768" t="s">
        <v>1150</v>
      </c>
      <c r="B722" s="1138"/>
      <c r="C722" s="1138"/>
      <c r="D722" s="1138"/>
      <c r="E722" s="1138"/>
      <c r="F722" s="1138"/>
      <c r="G722" s="1138"/>
      <c r="H722" s="1139"/>
    </row>
    <row r="723" spans="1:8" ht="18">
      <c r="A723" s="1138"/>
      <c r="B723" s="965" t="s">
        <v>2163</v>
      </c>
      <c r="C723" s="1138"/>
      <c r="D723" s="1138"/>
      <c r="E723" s="1138"/>
      <c r="F723" s="1138"/>
      <c r="G723" s="1138"/>
      <c r="H723" s="1139"/>
    </row>
    <row r="724" spans="1:8" ht="18">
      <c r="A724" s="1138"/>
      <c r="B724" s="1138"/>
      <c r="C724" s="1138"/>
      <c r="D724" s="1138"/>
      <c r="E724" s="1138"/>
      <c r="F724" s="1138"/>
      <c r="G724" s="1138"/>
      <c r="H724" s="1139"/>
    </row>
    <row r="725" spans="1:8" ht="18">
      <c r="A725" s="958"/>
      <c r="B725" s="958"/>
      <c r="C725" s="958"/>
      <c r="D725" s="958"/>
      <c r="E725" s="958"/>
      <c r="F725" s="958"/>
      <c r="G725" s="1530" t="s">
        <v>2129</v>
      </c>
      <c r="H725" s="1530"/>
    </row>
    <row r="726" spans="1:8" ht="18">
      <c r="A726" s="1530" t="s">
        <v>31</v>
      </c>
      <c r="B726" s="1530"/>
      <c r="C726" s="1530" t="s">
        <v>32</v>
      </c>
      <c r="D726" s="1530"/>
      <c r="E726" s="1530"/>
      <c r="F726" s="958"/>
      <c r="G726" s="1530" t="s">
        <v>33</v>
      </c>
      <c r="H726" s="1530"/>
    </row>
    <row r="727" spans="1:8" ht="18">
      <c r="A727" s="958"/>
      <c r="B727" s="958"/>
      <c r="C727" s="958"/>
      <c r="D727" s="958"/>
      <c r="E727" s="958"/>
      <c r="F727" s="958"/>
      <c r="G727" s="958"/>
      <c r="H727" s="958"/>
    </row>
    <row r="728" spans="1:8" ht="18">
      <c r="A728" s="958"/>
      <c r="B728" s="958"/>
      <c r="C728" s="958"/>
      <c r="D728" s="958"/>
      <c r="E728" s="958"/>
      <c r="F728" s="958"/>
      <c r="G728" s="958"/>
      <c r="H728" s="958"/>
    </row>
    <row r="729" spans="1:8" ht="18">
      <c r="A729" s="958"/>
      <c r="B729" s="958"/>
      <c r="C729" s="958"/>
      <c r="D729" s="958"/>
      <c r="E729" s="958"/>
      <c r="F729" s="958"/>
      <c r="G729" s="958"/>
      <c r="H729" s="958"/>
    </row>
    <row r="730" spans="1:8" ht="18">
      <c r="A730" s="1529" t="s">
        <v>1622</v>
      </c>
      <c r="B730" s="1529"/>
      <c r="C730" s="1529" t="s">
        <v>1603</v>
      </c>
      <c r="D730" s="1529"/>
      <c r="E730" s="1529"/>
      <c r="F730" s="958"/>
      <c r="G730" s="1529" t="s">
        <v>1778</v>
      </c>
      <c r="H730" s="1529"/>
    </row>
    <row r="731" spans="1:8" ht="18">
      <c r="A731" s="1530" t="s">
        <v>37</v>
      </c>
      <c r="B731" s="1530"/>
      <c r="C731" s="1530" t="s">
        <v>1604</v>
      </c>
      <c r="D731" s="1530"/>
      <c r="E731" s="1530"/>
      <c r="F731" s="958"/>
      <c r="G731" s="1530" t="s">
        <v>39</v>
      </c>
      <c r="H731" s="1530"/>
    </row>
    <row r="732" spans="1:8" ht="21">
      <c r="A732" s="1189"/>
      <c r="B732" s="1189"/>
      <c r="C732" s="1189"/>
      <c r="D732" s="1189"/>
      <c r="E732" s="1189"/>
      <c r="F732" s="1188"/>
      <c r="G732" s="1189"/>
      <c r="H732" s="1189"/>
    </row>
    <row r="763" spans="1:8" ht="28.8">
      <c r="A763" s="597"/>
      <c r="B763" s="597"/>
      <c r="C763" s="1513" t="s">
        <v>235</v>
      </c>
      <c r="D763" s="1513"/>
      <c r="E763" s="1513"/>
      <c r="F763" s="1513"/>
      <c r="G763" s="1513"/>
      <c r="H763" s="1513"/>
    </row>
    <row r="764" spans="1:8" ht="28.8">
      <c r="A764" s="597"/>
      <c r="B764" s="597"/>
      <c r="C764" s="1541" t="s">
        <v>2020</v>
      </c>
      <c r="D764" s="1541"/>
      <c r="E764" s="1541"/>
      <c r="F764" s="1541"/>
      <c r="G764" s="1541"/>
      <c r="H764" s="1541"/>
    </row>
    <row r="765" spans="1:8" ht="23.4">
      <c r="A765" s="830"/>
      <c r="B765" s="830"/>
      <c r="C765" s="1537" t="s">
        <v>466</v>
      </c>
      <c r="D765" s="1537"/>
      <c r="E765" s="1537"/>
      <c r="F765" s="1537"/>
      <c r="G765" s="1537"/>
      <c r="H765" s="1537"/>
    </row>
    <row r="766" spans="1:8" ht="15.6">
      <c r="A766" s="769"/>
      <c r="B766" s="769"/>
      <c r="C766" s="769"/>
      <c r="D766" s="769"/>
      <c r="E766" s="769"/>
      <c r="F766" s="769"/>
      <c r="G766" s="769"/>
      <c r="H766" s="769"/>
    </row>
    <row r="767" spans="1:8" ht="15.6">
      <c r="A767" s="769"/>
      <c r="B767" s="769"/>
      <c r="C767" s="769"/>
      <c r="D767" s="769"/>
      <c r="E767" s="769"/>
      <c r="F767" s="769"/>
      <c r="G767" s="769"/>
      <c r="H767" s="769"/>
    </row>
    <row r="768" spans="1:8" ht="15.6">
      <c r="A768" s="1516" t="s">
        <v>3</v>
      </c>
      <c r="B768" s="1516" t="s">
        <v>4</v>
      </c>
      <c r="C768" s="1516" t="s">
        <v>5</v>
      </c>
      <c r="D768" s="1516" t="s">
        <v>6</v>
      </c>
      <c r="E768" s="1516" t="s">
        <v>7</v>
      </c>
      <c r="F768" s="770" t="s">
        <v>8</v>
      </c>
      <c r="G768" s="770" t="s">
        <v>9</v>
      </c>
      <c r="H768" s="770" t="s">
        <v>10</v>
      </c>
    </row>
    <row r="769" spans="1:8" ht="15.6">
      <c r="A769" s="1517"/>
      <c r="B769" s="1517"/>
      <c r="C769" s="1517"/>
      <c r="D769" s="1517"/>
      <c r="E769" s="1517"/>
      <c r="F769" s="771" t="s">
        <v>11</v>
      </c>
      <c r="G769" s="771" t="s">
        <v>11</v>
      </c>
      <c r="H769" s="771" t="s">
        <v>11</v>
      </c>
    </row>
    <row r="770" spans="1:8" ht="15.6">
      <c r="A770" s="770" t="s">
        <v>12</v>
      </c>
      <c r="B770" s="772" t="s">
        <v>364</v>
      </c>
      <c r="C770" s="773"/>
      <c r="D770" s="774"/>
      <c r="E770" s="774"/>
      <c r="F770" s="774"/>
      <c r="G770" s="775"/>
      <c r="H770" s="776"/>
    </row>
    <row r="771" spans="1:8" ht="15.6">
      <c r="A771" s="786"/>
      <c r="B771" s="969" t="s">
        <v>1421</v>
      </c>
      <c r="C771" s="779">
        <v>1</v>
      </c>
      <c r="D771" s="780" t="s">
        <v>44</v>
      </c>
      <c r="E771" s="780" t="s">
        <v>197</v>
      </c>
      <c r="F771" s="791" t="s">
        <v>126</v>
      </c>
      <c r="G771" s="791" t="s">
        <v>126</v>
      </c>
      <c r="H771" s="971"/>
    </row>
    <row r="772" spans="1:8" ht="15.6">
      <c r="A772" s="786"/>
      <c r="B772" s="969" t="s">
        <v>1583</v>
      </c>
      <c r="C772" s="779">
        <v>0.5</v>
      </c>
      <c r="D772" s="780" t="s">
        <v>245</v>
      </c>
      <c r="E772" s="780" t="s">
        <v>197</v>
      </c>
      <c r="F772" s="791" t="s">
        <v>126</v>
      </c>
      <c r="G772" s="791" t="s">
        <v>126</v>
      </c>
      <c r="H772" s="971"/>
    </row>
    <row r="773" spans="1:8" ht="15.6">
      <c r="A773" s="786"/>
      <c r="B773" s="969"/>
      <c r="C773" s="779"/>
      <c r="D773" s="780"/>
      <c r="E773" s="780"/>
      <c r="F773" s="788"/>
      <c r="G773" s="788"/>
      <c r="H773" s="971"/>
    </row>
    <row r="774" spans="1:8" ht="15.6">
      <c r="A774" s="814"/>
      <c r="B774" s="806"/>
      <c r="C774" s="815"/>
      <c r="D774" s="816"/>
      <c r="E774" s="816"/>
      <c r="F774" s="817"/>
      <c r="G774" s="817"/>
      <c r="H774" s="818">
        <f>SUM(G770:G774)</f>
        <v>0</v>
      </c>
    </row>
    <row r="775" spans="1:8" ht="15.6">
      <c r="A775" s="786" t="s">
        <v>18</v>
      </c>
      <c r="B775" s="787" t="s">
        <v>19</v>
      </c>
      <c r="C775" s="782"/>
      <c r="D775" s="780"/>
      <c r="E775" s="780"/>
      <c r="F775" s="778"/>
      <c r="G775" s="788"/>
      <c r="H775" s="789"/>
    </row>
    <row r="776" spans="1:8" ht="15.6">
      <c r="A776" s="790"/>
      <c r="B776" s="969" t="s">
        <v>1936</v>
      </c>
      <c r="C776" s="779">
        <v>2</v>
      </c>
      <c r="D776" s="780" t="s">
        <v>1774</v>
      </c>
      <c r="E776" s="780" t="s">
        <v>82</v>
      </c>
      <c r="F776" s="788">
        <v>90000</v>
      </c>
      <c r="G776" s="788">
        <f>F776*C776</f>
        <v>180000</v>
      </c>
      <c r="H776" s="789"/>
    </row>
    <row r="777" spans="1:8" ht="15.6">
      <c r="A777" s="790"/>
      <c r="B777" s="969" t="s">
        <v>2021</v>
      </c>
      <c r="C777" s="779">
        <v>1</v>
      </c>
      <c r="D777" s="780" t="s">
        <v>1774</v>
      </c>
      <c r="E777" s="780" t="s">
        <v>82</v>
      </c>
      <c r="F777" s="788">
        <v>135000</v>
      </c>
      <c r="G777" s="788">
        <f>F777*C777</f>
        <v>135000</v>
      </c>
      <c r="H777" s="789"/>
    </row>
    <row r="778" spans="1:8" ht="15.6">
      <c r="A778" s="790"/>
      <c r="B778" s="777"/>
      <c r="C778" s="788"/>
      <c r="D778" s="780"/>
      <c r="E778" s="780"/>
      <c r="F778" s="788"/>
      <c r="G778" s="788"/>
      <c r="H778" s="789"/>
    </row>
    <row r="779" spans="1:8" ht="15.6">
      <c r="A779" s="793"/>
      <c r="B779" s="783"/>
      <c r="C779" s="794"/>
      <c r="D779" s="795"/>
      <c r="E779" s="811"/>
      <c r="F779" s="811" t="s">
        <v>25</v>
      </c>
      <c r="G779" s="813">
        <f>SUM(G776:G778)</f>
        <v>315000</v>
      </c>
      <c r="H779" s="810"/>
    </row>
    <row r="780" spans="1:8" ht="15.6">
      <c r="A780" s="820"/>
      <c r="B780" s="821"/>
      <c r="C780" s="822"/>
      <c r="D780" s="822"/>
      <c r="E780" s="823"/>
      <c r="F780" s="819" t="s">
        <v>1151</v>
      </c>
      <c r="G780" s="964"/>
      <c r="H780" s="825"/>
    </row>
    <row r="781" spans="1:8" ht="15.6">
      <c r="A781" s="796"/>
      <c r="B781" s="797"/>
      <c r="C781" s="784"/>
      <c r="D781" s="784"/>
      <c r="E781" s="785"/>
      <c r="F781" s="812"/>
      <c r="G781" s="798"/>
      <c r="H781" s="826">
        <f>G779+G780</f>
        <v>315000</v>
      </c>
    </row>
    <row r="782" spans="1:8" ht="15.6">
      <c r="A782" s="820"/>
      <c r="B782" s="821"/>
      <c r="C782" s="822"/>
      <c r="D782" s="822"/>
      <c r="E782" s="823"/>
      <c r="F782" s="819"/>
      <c r="G782" s="824"/>
      <c r="H782" s="827"/>
    </row>
    <row r="783" spans="1:8" ht="15.6">
      <c r="A783" s="799"/>
      <c r="B783" s="800"/>
      <c r="C783" s="800"/>
      <c r="D783" s="800"/>
      <c r="E783" s="800"/>
      <c r="F783" s="801"/>
      <c r="G783" s="828" t="s">
        <v>28</v>
      </c>
      <c r="H783" s="775">
        <f>H781+H774</f>
        <v>315000</v>
      </c>
    </row>
    <row r="784" spans="1:8" ht="15.6">
      <c r="A784" s="802"/>
      <c r="B784" s="803"/>
      <c r="C784" s="804"/>
      <c r="D784" s="804"/>
      <c r="E784" s="804"/>
      <c r="F784" s="805"/>
      <c r="G784" s="829" t="s">
        <v>30</v>
      </c>
      <c r="H784" s="807">
        <f>ROUND(H783,-3)</f>
        <v>315000</v>
      </c>
    </row>
    <row r="785" spans="1:8" ht="15.6">
      <c r="A785" s="49"/>
      <c r="B785" s="49"/>
      <c r="C785" s="49"/>
      <c r="D785" s="49"/>
      <c r="E785" s="49"/>
      <c r="F785" s="49"/>
      <c r="G785" s="49"/>
      <c r="H785" s="50"/>
    </row>
    <row r="786" spans="1:8" ht="18">
      <c r="A786" s="768" t="s">
        <v>1150</v>
      </c>
      <c r="B786" s="49"/>
      <c r="C786" s="49"/>
      <c r="D786" s="49"/>
      <c r="E786" s="49"/>
      <c r="F786" s="49"/>
      <c r="G786" s="49"/>
      <c r="H786" s="50"/>
    </row>
    <row r="787" spans="1:8" ht="17.399999999999999">
      <c r="A787" s="49"/>
      <c r="B787" s="965" t="s">
        <v>2022</v>
      </c>
      <c r="C787" s="49"/>
      <c r="D787" s="49"/>
      <c r="E787" s="49"/>
      <c r="F787" s="49"/>
      <c r="G787" s="49"/>
      <c r="H787" s="50"/>
    </row>
    <row r="788" spans="1:8" ht="15.6">
      <c r="A788" s="49"/>
      <c r="B788" s="49"/>
      <c r="C788" s="49"/>
      <c r="D788" s="49"/>
      <c r="E788" s="49"/>
      <c r="F788" s="49"/>
      <c r="G788" s="49"/>
      <c r="H788" s="50"/>
    </row>
    <row r="789" spans="1:8" ht="18">
      <c r="A789" s="51"/>
      <c r="B789" s="51"/>
      <c r="C789" s="51"/>
      <c r="D789" s="51"/>
      <c r="E789" s="51"/>
      <c r="F789" s="51"/>
      <c r="G789" s="1530" t="s">
        <v>2006</v>
      </c>
      <c r="H789" s="1530"/>
    </row>
    <row r="790" spans="1:8" ht="18">
      <c r="A790" s="1530" t="s">
        <v>31</v>
      </c>
      <c r="B790" s="1530"/>
      <c r="C790" s="1530" t="s">
        <v>32</v>
      </c>
      <c r="D790" s="1530"/>
      <c r="E790" s="1530"/>
      <c r="F790" s="958"/>
      <c r="G790" s="1530" t="s">
        <v>33</v>
      </c>
      <c r="H790" s="1530"/>
    </row>
    <row r="791" spans="1:8" ht="18">
      <c r="A791" s="958"/>
      <c r="B791" s="958"/>
      <c r="C791" s="958"/>
      <c r="D791" s="958"/>
      <c r="E791" s="958"/>
      <c r="F791" s="958"/>
      <c r="G791" s="958"/>
      <c r="H791" s="958"/>
    </row>
    <row r="792" spans="1:8" ht="18">
      <c r="A792" s="958"/>
      <c r="B792" s="958"/>
      <c r="C792" s="958"/>
      <c r="D792" s="958"/>
      <c r="E792" s="958"/>
      <c r="F792" s="958"/>
      <c r="G792" s="958"/>
      <c r="H792" s="958"/>
    </row>
    <row r="793" spans="1:8" ht="18">
      <c r="A793" s="958"/>
      <c r="B793" s="958"/>
      <c r="C793" s="958"/>
      <c r="D793" s="958"/>
      <c r="E793" s="958"/>
      <c r="F793" s="958"/>
      <c r="G793" s="958"/>
      <c r="H793" s="958"/>
    </row>
    <row r="794" spans="1:8" ht="18">
      <c r="A794" s="1529" t="s">
        <v>1622</v>
      </c>
      <c r="B794" s="1529"/>
      <c r="C794" s="1529" t="s">
        <v>1603</v>
      </c>
      <c r="D794" s="1529"/>
      <c r="E794" s="1529"/>
      <c r="F794" s="958"/>
      <c r="G794" s="1529" t="s">
        <v>1661</v>
      </c>
      <c r="H794" s="1529"/>
    </row>
    <row r="795" spans="1:8" ht="18">
      <c r="A795" s="1530" t="s">
        <v>37</v>
      </c>
      <c r="B795" s="1530"/>
      <c r="C795" s="1530" t="s">
        <v>1604</v>
      </c>
      <c r="D795" s="1530"/>
      <c r="E795" s="1530"/>
      <c r="F795" s="958"/>
      <c r="G795" s="1530" t="s">
        <v>39</v>
      </c>
      <c r="H795" s="1530"/>
    </row>
    <row r="803" spans="1:8" ht="15.6">
      <c r="A803" s="808"/>
      <c r="B803" s="808"/>
      <c r="C803" s="808"/>
      <c r="D803" s="808"/>
      <c r="E803" s="808"/>
      <c r="F803" s="808"/>
      <c r="G803" s="808"/>
      <c r="H803" s="808"/>
    </row>
    <row r="804" spans="1:8" ht="28.8">
      <c r="A804" s="597"/>
      <c r="B804" s="597"/>
      <c r="C804" s="1513" t="s">
        <v>235</v>
      </c>
      <c r="D804" s="1513"/>
      <c r="E804" s="1513"/>
      <c r="F804" s="1513"/>
      <c r="G804" s="1513"/>
      <c r="H804" s="1513"/>
    </row>
    <row r="805" spans="1:8" ht="28.8">
      <c r="A805" s="597"/>
      <c r="B805" s="597"/>
      <c r="C805" s="1513" t="s">
        <v>1366</v>
      </c>
      <c r="D805" s="1513"/>
      <c r="E805" s="1513"/>
      <c r="F805" s="1513"/>
      <c r="G805" s="1513"/>
      <c r="H805" s="1513"/>
    </row>
    <row r="806" spans="1:8" ht="21">
      <c r="A806" s="830"/>
      <c r="B806" s="830"/>
      <c r="C806" s="1535" t="s">
        <v>286</v>
      </c>
      <c r="D806" s="1535"/>
      <c r="E806" s="1535"/>
      <c r="F806" s="1535"/>
      <c r="G806" s="1535"/>
      <c r="H806" s="1535"/>
    </row>
    <row r="807" spans="1:8" ht="15.6">
      <c r="A807" s="769"/>
      <c r="B807" s="769"/>
      <c r="C807" s="769"/>
      <c r="D807" s="769"/>
      <c r="E807" s="769"/>
      <c r="F807" s="769"/>
      <c r="G807" s="769"/>
      <c r="H807" s="769"/>
    </row>
    <row r="808" spans="1:8" ht="15.6">
      <c r="A808" s="769"/>
      <c r="B808" s="769"/>
      <c r="C808" s="769"/>
      <c r="D808" s="769"/>
      <c r="E808" s="769"/>
      <c r="F808" s="769"/>
      <c r="G808" s="769"/>
      <c r="H808" s="769"/>
    </row>
    <row r="809" spans="1:8" ht="18">
      <c r="A809" s="1531" t="s">
        <v>3</v>
      </c>
      <c r="B809" s="1531" t="s">
        <v>4</v>
      </c>
      <c r="C809" s="1531" t="s">
        <v>5</v>
      </c>
      <c r="D809" s="1531" t="s">
        <v>6</v>
      </c>
      <c r="E809" s="1531" t="s">
        <v>7</v>
      </c>
      <c r="F809" s="1001" t="s">
        <v>8</v>
      </c>
      <c r="G809" s="1001" t="s">
        <v>9</v>
      </c>
      <c r="H809" s="1001" t="s">
        <v>10</v>
      </c>
    </row>
    <row r="810" spans="1:8" ht="18">
      <c r="A810" s="1532"/>
      <c r="B810" s="1532"/>
      <c r="C810" s="1532"/>
      <c r="D810" s="1532"/>
      <c r="E810" s="1532"/>
      <c r="F810" s="1002" t="s">
        <v>11</v>
      </c>
      <c r="G810" s="1002" t="s">
        <v>11</v>
      </c>
      <c r="H810" s="1002" t="s">
        <v>11</v>
      </c>
    </row>
    <row r="811" spans="1:8" ht="18">
      <c r="A811" s="1001" t="s">
        <v>12</v>
      </c>
      <c r="B811" s="1003" t="s">
        <v>364</v>
      </c>
      <c r="C811" s="1004"/>
      <c r="D811" s="1005"/>
      <c r="E811" s="1005"/>
      <c r="F811" s="1005"/>
      <c r="G811" s="1006"/>
      <c r="H811" s="1057"/>
    </row>
    <row r="812" spans="1:8" ht="18">
      <c r="A812" s="1024"/>
      <c r="B812" s="1021" t="s">
        <v>1368</v>
      </c>
      <c r="C812" s="1010">
        <v>1</v>
      </c>
      <c r="D812" s="1011" t="s">
        <v>15</v>
      </c>
      <c r="E812" s="1011" t="s">
        <v>16</v>
      </c>
      <c r="F812" s="1136">
        <v>350000</v>
      </c>
      <c r="G812" s="1136">
        <f>F812*C812</f>
        <v>350000</v>
      </c>
      <c r="H812" s="831"/>
    </row>
    <row r="813" spans="1:8" ht="18">
      <c r="A813" s="1024"/>
      <c r="B813" s="1021" t="s">
        <v>1369</v>
      </c>
      <c r="C813" s="1010">
        <v>5</v>
      </c>
      <c r="D813" s="1011" t="s">
        <v>1373</v>
      </c>
      <c r="E813" s="1011" t="s">
        <v>16</v>
      </c>
      <c r="F813" s="1136">
        <v>13000</v>
      </c>
      <c r="G813" s="1136">
        <f>F813*C813</f>
        <v>65000</v>
      </c>
      <c r="H813" s="809"/>
    </row>
    <row r="814" spans="1:8" ht="18">
      <c r="A814" s="1024"/>
      <c r="B814" s="1021" t="s">
        <v>2001</v>
      </c>
      <c r="C814" s="1010">
        <v>4</v>
      </c>
      <c r="D814" s="1011" t="s">
        <v>15</v>
      </c>
      <c r="E814" s="1011" t="s">
        <v>16</v>
      </c>
      <c r="F814" s="1136">
        <v>7500</v>
      </c>
      <c r="G814" s="1136">
        <f>F814*C814</f>
        <v>30000</v>
      </c>
      <c r="H814" s="809"/>
    </row>
    <row r="815" spans="1:8" ht="18">
      <c r="A815" s="1024"/>
      <c r="B815" s="1021"/>
      <c r="C815" s="1010"/>
      <c r="D815" s="1011"/>
      <c r="E815" s="1011"/>
      <c r="F815" s="1136"/>
      <c r="G815" s="1136"/>
      <c r="H815" s="809"/>
    </row>
    <row r="816" spans="1:8" ht="18">
      <c r="A816" s="1013"/>
      <c r="B816" s="1014"/>
      <c r="C816" s="1015"/>
      <c r="D816" s="1016"/>
      <c r="E816" s="1016"/>
      <c r="F816" s="1017"/>
      <c r="G816" s="1017"/>
      <c r="H816" s="1135">
        <f>SUM(G811:G816)</f>
        <v>445000</v>
      </c>
    </row>
    <row r="817" spans="1:8" ht="18">
      <c r="A817" s="1008" t="s">
        <v>18</v>
      </c>
      <c r="B817" s="1019" t="s">
        <v>19</v>
      </c>
      <c r="C817" s="1020"/>
      <c r="D817" s="1011"/>
      <c r="E817" s="1011"/>
      <c r="F817" s="1021"/>
      <c r="G817" s="1022"/>
      <c r="H817" s="1007"/>
    </row>
    <row r="818" spans="1:8" ht="18">
      <c r="A818" s="1023"/>
      <c r="B818" s="969" t="s">
        <v>2004</v>
      </c>
      <c r="C818" s="779">
        <v>2</v>
      </c>
      <c r="D818" s="780" t="s">
        <v>2003</v>
      </c>
      <c r="E818" s="780" t="s">
        <v>1937</v>
      </c>
      <c r="F818" s="788">
        <v>90000</v>
      </c>
      <c r="G818" s="1022">
        <f>F818*C818</f>
        <v>180000</v>
      </c>
      <c r="H818" s="1007"/>
    </row>
    <row r="819" spans="1:8" ht="18">
      <c r="A819" s="1023"/>
      <c r="B819" s="1024"/>
      <c r="C819" s="1022"/>
      <c r="D819" s="1011"/>
      <c r="E819" s="1011"/>
      <c r="F819" s="1022"/>
      <c r="G819" s="1022"/>
      <c r="H819" s="1007"/>
    </row>
    <row r="820" spans="1:8" ht="18">
      <c r="A820" s="1025"/>
      <c r="B820" s="1026"/>
      <c r="C820" s="1027"/>
      <c r="D820" s="1028"/>
      <c r="E820" s="1029"/>
      <c r="F820" s="1029" t="s">
        <v>25</v>
      </c>
      <c r="G820" s="1030">
        <f>SUM(G818:G819)</f>
        <v>180000</v>
      </c>
      <c r="H820" s="1018"/>
    </row>
    <row r="821" spans="1:8" ht="18">
      <c r="A821" s="1031"/>
      <c r="B821" s="1032"/>
      <c r="C821" s="1033"/>
      <c r="D821" s="1033"/>
      <c r="E821" s="1034"/>
      <c r="F821" s="1035" t="s">
        <v>1151</v>
      </c>
      <c r="G821" s="1045"/>
      <c r="H821" s="1037"/>
    </row>
    <row r="822" spans="1:8" ht="18">
      <c r="A822" s="1038"/>
      <c r="B822" s="1039"/>
      <c r="C822" s="1040"/>
      <c r="D822" s="1040"/>
      <c r="E822" s="1041"/>
      <c r="F822" s="1042"/>
      <c r="G822" s="1043"/>
      <c r="H822" s="1044">
        <f>G820+G821</f>
        <v>180000</v>
      </c>
    </row>
    <row r="823" spans="1:8" ht="18">
      <c r="A823" s="1031"/>
      <c r="B823" s="1032"/>
      <c r="C823" s="1033"/>
      <c r="D823" s="1033"/>
      <c r="E823" s="1034"/>
      <c r="F823" s="1035"/>
      <c r="G823" s="1045"/>
      <c r="H823" s="1046"/>
    </row>
    <row r="824" spans="1:8" ht="18">
      <c r="A824" s="1047"/>
      <c r="B824" s="1048"/>
      <c r="C824" s="1048"/>
      <c r="D824" s="1048"/>
      <c r="E824" s="1048"/>
      <c r="F824" s="1049"/>
      <c r="G824" s="1050" t="s">
        <v>28</v>
      </c>
      <c r="H824" s="1006">
        <f>H822+H816</f>
        <v>625000</v>
      </c>
    </row>
    <row r="825" spans="1:8" ht="18">
      <c r="A825" s="1051"/>
      <c r="B825" s="1052"/>
      <c r="C825" s="1053"/>
      <c r="D825" s="1053"/>
      <c r="E825" s="1053"/>
      <c r="F825" s="1054"/>
      <c r="G825" s="1055" t="s">
        <v>30</v>
      </c>
      <c r="H825" s="1056">
        <f>ROUND(H824,-3)</f>
        <v>625000</v>
      </c>
    </row>
    <row r="826" spans="1:8" ht="18">
      <c r="A826" s="1138"/>
      <c r="B826" s="1138"/>
      <c r="C826" s="1138"/>
      <c r="D826" s="1138"/>
      <c r="E826" s="1138"/>
      <c r="F826" s="1138"/>
      <c r="G826" s="1138"/>
      <c r="H826" s="1139"/>
    </row>
    <row r="827" spans="1:8" ht="18">
      <c r="A827" s="768" t="s">
        <v>1150</v>
      </c>
      <c r="B827" s="1138"/>
      <c r="C827" s="1138"/>
      <c r="D827" s="1138"/>
      <c r="E827" s="1138"/>
      <c r="F827" s="1138"/>
      <c r="G827" s="1138"/>
      <c r="H827" s="1139"/>
    </row>
    <row r="828" spans="1:8" ht="18">
      <c r="A828" s="1138"/>
      <c r="B828" s="965" t="s">
        <v>2009</v>
      </c>
      <c r="C828" s="1138"/>
      <c r="D828" s="1138"/>
      <c r="E828" s="1138"/>
      <c r="F828" s="1138"/>
      <c r="G828" s="1138"/>
      <c r="H828" s="1139"/>
    </row>
    <row r="829" spans="1:8" ht="18">
      <c r="A829" s="1138"/>
      <c r="B829" s="1138"/>
      <c r="C829" s="1138"/>
      <c r="D829" s="1138"/>
      <c r="E829" s="1138"/>
      <c r="F829" s="1138"/>
      <c r="G829" s="1138"/>
      <c r="H829" s="1139"/>
    </row>
    <row r="830" spans="1:8" ht="18">
      <c r="A830" s="958"/>
      <c r="B830" s="958"/>
      <c r="C830" s="958"/>
      <c r="D830" s="958"/>
      <c r="E830" s="958"/>
      <c r="F830" s="958"/>
      <c r="G830" s="1530" t="s">
        <v>2010</v>
      </c>
      <c r="H830" s="1530"/>
    </row>
    <row r="831" spans="1:8" ht="18">
      <c r="A831" s="1530" t="s">
        <v>31</v>
      </c>
      <c r="B831" s="1530"/>
      <c r="C831" s="1530" t="s">
        <v>32</v>
      </c>
      <c r="D831" s="1530"/>
      <c r="E831" s="1530"/>
      <c r="F831" s="958"/>
      <c r="G831" s="1530" t="s">
        <v>33</v>
      </c>
      <c r="H831" s="1530"/>
    </row>
    <row r="832" spans="1:8" ht="18">
      <c r="A832" s="958"/>
      <c r="B832" s="958"/>
      <c r="C832" s="958"/>
      <c r="D832" s="958"/>
      <c r="E832" s="958"/>
      <c r="F832" s="958"/>
      <c r="G832" s="958"/>
      <c r="H832" s="958"/>
    </row>
    <row r="833" spans="1:8" ht="18">
      <c r="A833" s="958"/>
      <c r="B833" s="958"/>
      <c r="C833" s="958"/>
      <c r="D833" s="958"/>
      <c r="E833" s="958"/>
      <c r="F833" s="958"/>
      <c r="G833" s="958"/>
      <c r="H833" s="958"/>
    </row>
    <row r="834" spans="1:8" ht="18">
      <c r="A834" s="958"/>
      <c r="B834" s="958"/>
      <c r="C834" s="958"/>
      <c r="D834" s="958"/>
      <c r="E834" s="958"/>
      <c r="F834" s="958"/>
      <c r="G834" s="958"/>
      <c r="H834" s="958"/>
    </row>
    <row r="835" spans="1:8" ht="18">
      <c r="A835" s="1529" t="s">
        <v>1622</v>
      </c>
      <c r="B835" s="1529"/>
      <c r="C835" s="1529" t="s">
        <v>1603</v>
      </c>
      <c r="D835" s="1529"/>
      <c r="E835" s="1529"/>
      <c r="F835" s="958"/>
      <c r="G835" s="1529" t="s">
        <v>1661</v>
      </c>
      <c r="H835" s="1529"/>
    </row>
    <row r="836" spans="1:8" ht="18">
      <c r="A836" s="1530" t="s">
        <v>37</v>
      </c>
      <c r="B836" s="1530"/>
      <c r="C836" s="1530" t="s">
        <v>1604</v>
      </c>
      <c r="D836" s="1530"/>
      <c r="E836" s="1530"/>
      <c r="F836" s="958"/>
      <c r="G836" s="1530" t="s">
        <v>39</v>
      </c>
      <c r="H836" s="1530"/>
    </row>
    <row r="837" spans="1:8" ht="18">
      <c r="A837" s="1140"/>
      <c r="B837" s="1140"/>
      <c r="C837" s="1140"/>
      <c r="D837" s="1140"/>
      <c r="E837" s="1140"/>
      <c r="F837" s="1140"/>
      <c r="G837" s="1140"/>
      <c r="H837" s="1140"/>
    </row>
    <row r="843" spans="1:8" ht="28.8">
      <c r="A843" s="597"/>
      <c r="B843" s="597"/>
      <c r="C843" s="1513" t="s">
        <v>235</v>
      </c>
      <c r="D843" s="1513"/>
      <c r="E843" s="1513"/>
      <c r="F843" s="1513"/>
      <c r="G843" s="1513"/>
      <c r="H843" s="1513"/>
    </row>
    <row r="844" spans="1:8" ht="28.8">
      <c r="A844" s="597"/>
      <c r="B844" s="597"/>
      <c r="C844" s="1541" t="s">
        <v>2234</v>
      </c>
      <c r="D844" s="1541"/>
      <c r="E844" s="1541"/>
      <c r="F844" s="1541"/>
      <c r="G844" s="1541"/>
      <c r="H844" s="1541"/>
    </row>
    <row r="845" spans="1:8" ht="23.4">
      <c r="A845" s="830"/>
      <c r="B845" s="830"/>
      <c r="C845" s="1537" t="s">
        <v>889</v>
      </c>
      <c r="D845" s="1537"/>
      <c r="E845" s="1537"/>
      <c r="F845" s="1537"/>
      <c r="G845" s="1537"/>
      <c r="H845" s="1537"/>
    </row>
    <row r="846" spans="1:8" ht="15.6">
      <c r="A846" s="769"/>
      <c r="B846" s="769"/>
      <c r="C846" s="769"/>
      <c r="D846" s="769"/>
      <c r="E846" s="769"/>
      <c r="F846" s="769"/>
      <c r="G846" s="769"/>
      <c r="H846" s="769"/>
    </row>
    <row r="847" spans="1:8" ht="15.6">
      <c r="A847" s="769"/>
      <c r="B847" s="769"/>
      <c r="C847" s="769"/>
      <c r="D847" s="769"/>
      <c r="E847" s="769"/>
      <c r="F847" s="769"/>
      <c r="G847" s="769"/>
      <c r="H847" s="769"/>
    </row>
    <row r="848" spans="1:8" ht="21">
      <c r="A848" s="1542" t="s">
        <v>3</v>
      </c>
      <c r="B848" s="1542" t="s">
        <v>4</v>
      </c>
      <c r="C848" s="1542" t="s">
        <v>5</v>
      </c>
      <c r="D848" s="1542" t="s">
        <v>6</v>
      </c>
      <c r="E848" s="1542" t="s">
        <v>7</v>
      </c>
      <c r="F848" s="1284" t="s">
        <v>8</v>
      </c>
      <c r="G848" s="1284" t="s">
        <v>9</v>
      </c>
      <c r="H848" s="1284" t="s">
        <v>10</v>
      </c>
    </row>
    <row r="849" spans="1:8" ht="21">
      <c r="A849" s="1543"/>
      <c r="B849" s="1543"/>
      <c r="C849" s="1543"/>
      <c r="D849" s="1543"/>
      <c r="E849" s="1543"/>
      <c r="F849" s="1285" t="s">
        <v>11</v>
      </c>
      <c r="G849" s="1285" t="s">
        <v>11</v>
      </c>
      <c r="H849" s="1285" t="s">
        <v>11</v>
      </c>
    </row>
    <row r="850" spans="1:8" ht="21">
      <c r="A850" s="1284" t="s">
        <v>12</v>
      </c>
      <c r="B850" s="1286" t="s">
        <v>364</v>
      </c>
      <c r="C850" s="1287"/>
      <c r="D850" s="1288"/>
      <c r="E850" s="1288"/>
      <c r="F850" s="1288"/>
      <c r="G850" s="1289"/>
      <c r="H850" s="1290"/>
    </row>
    <row r="851" spans="1:8" ht="21">
      <c r="A851" s="1291"/>
      <c r="B851" s="1297" t="s">
        <v>1996</v>
      </c>
      <c r="C851" s="1293">
        <v>1</v>
      </c>
      <c r="D851" s="1294" t="s">
        <v>44</v>
      </c>
      <c r="E851" s="1294" t="s">
        <v>197</v>
      </c>
      <c r="F851" s="1295" t="s">
        <v>126</v>
      </c>
      <c r="G851" s="1295" t="s">
        <v>126</v>
      </c>
      <c r="H851" s="1296"/>
    </row>
    <row r="852" spans="1:8" ht="21">
      <c r="A852" s="1291"/>
      <c r="B852" s="1297" t="s">
        <v>1583</v>
      </c>
      <c r="C852" s="1293">
        <v>0.5</v>
      </c>
      <c r="D852" s="1294" t="s">
        <v>245</v>
      </c>
      <c r="E852" s="1294" t="s">
        <v>197</v>
      </c>
      <c r="F852" s="1295" t="s">
        <v>126</v>
      </c>
      <c r="G852" s="1295" t="s">
        <v>126</v>
      </c>
      <c r="H852" s="1296"/>
    </row>
    <row r="853" spans="1:8" ht="21">
      <c r="A853" s="1291"/>
      <c r="B853" s="1297"/>
      <c r="C853" s="1293"/>
      <c r="D853" s="1294"/>
      <c r="E853" s="1294"/>
      <c r="F853" s="1302"/>
      <c r="G853" s="1302"/>
      <c r="H853" s="1296"/>
    </row>
    <row r="854" spans="1:8" ht="21">
      <c r="A854" s="1341"/>
      <c r="B854" s="1342"/>
      <c r="C854" s="1343"/>
      <c r="D854" s="1344"/>
      <c r="E854" s="1344"/>
      <c r="F854" s="1345"/>
      <c r="G854" s="1345"/>
      <c r="H854" s="1366">
        <f>SUM(G850:G854)</f>
        <v>0</v>
      </c>
    </row>
    <row r="855" spans="1:8" ht="21">
      <c r="A855" s="1291" t="s">
        <v>18</v>
      </c>
      <c r="B855" s="1346" t="s">
        <v>19</v>
      </c>
      <c r="C855" s="1347"/>
      <c r="D855" s="1294"/>
      <c r="E855" s="1294"/>
      <c r="F855" s="1292"/>
      <c r="G855" s="1302"/>
      <c r="H855" s="1303"/>
    </row>
    <row r="856" spans="1:8" ht="21">
      <c r="A856" s="1300"/>
      <c r="B856" s="1297" t="s">
        <v>1997</v>
      </c>
      <c r="C856" s="1293">
        <v>3</v>
      </c>
      <c r="D856" s="1294" t="s">
        <v>403</v>
      </c>
      <c r="E856" s="1294" t="s">
        <v>82</v>
      </c>
      <c r="F856" s="1302">
        <v>270000</v>
      </c>
      <c r="G856" s="1302">
        <f>F856*C856</f>
        <v>810000</v>
      </c>
      <c r="H856" s="1303"/>
    </row>
    <row r="857" spans="1:8" ht="21">
      <c r="A857" s="1300"/>
      <c r="B857" s="1292" t="s">
        <v>2007</v>
      </c>
      <c r="C857" s="1293"/>
      <c r="D857" s="1294"/>
      <c r="E857" s="1294"/>
      <c r="F857" s="1302"/>
      <c r="G857" s="1302"/>
      <c r="H857" s="1303"/>
    </row>
    <row r="858" spans="1:8" ht="21">
      <c r="A858" s="1300"/>
      <c r="B858" s="1297" t="s">
        <v>1998</v>
      </c>
      <c r="C858" s="1293">
        <v>1</v>
      </c>
      <c r="D858" s="1294" t="s">
        <v>403</v>
      </c>
      <c r="E858" s="1294" t="s">
        <v>82</v>
      </c>
      <c r="F858" s="1302">
        <v>337500</v>
      </c>
      <c r="G858" s="1302">
        <f>F858*C858</f>
        <v>337500</v>
      </c>
      <c r="H858" s="1303"/>
    </row>
    <row r="859" spans="1:8" ht="21">
      <c r="A859" s="1300"/>
      <c r="B859" s="1292" t="s">
        <v>2008</v>
      </c>
      <c r="C859" s="1293"/>
      <c r="D859" s="1294"/>
      <c r="E859" s="1294"/>
      <c r="F859" s="1302"/>
      <c r="G859" s="1302"/>
      <c r="H859" s="1303"/>
    </row>
    <row r="860" spans="1:8" ht="21">
      <c r="A860" s="1300"/>
      <c r="B860" s="1297" t="s">
        <v>2232</v>
      </c>
      <c r="C860" s="1293">
        <v>1</v>
      </c>
      <c r="D860" s="1294" t="s">
        <v>69</v>
      </c>
      <c r="E860" s="1294" t="s">
        <v>51</v>
      </c>
      <c r="F860" s="1302">
        <v>150000</v>
      </c>
      <c r="G860" s="1302">
        <f>F860*C860</f>
        <v>150000</v>
      </c>
      <c r="H860" s="1303"/>
    </row>
    <row r="861" spans="1:8" ht="21">
      <c r="A861" s="1300"/>
      <c r="B861" s="1301"/>
      <c r="C861" s="1302"/>
      <c r="D861" s="1294"/>
      <c r="E861" s="1294"/>
      <c r="F861" s="1302"/>
      <c r="G861" s="1302"/>
      <c r="H861" s="1303"/>
    </row>
    <row r="862" spans="1:8" ht="21">
      <c r="A862" s="1304"/>
      <c r="B862" s="1305"/>
      <c r="C862" s="1306"/>
      <c r="D862" s="1307"/>
      <c r="E862" s="1308"/>
      <c r="F862" s="1308" t="s">
        <v>25</v>
      </c>
      <c r="G862" s="1309">
        <f>SUM(G856:G861)</f>
        <v>1297500</v>
      </c>
      <c r="H862" s="1310"/>
    </row>
    <row r="863" spans="1:8" ht="21">
      <c r="A863" s="1311"/>
      <c r="B863" s="1312"/>
      <c r="C863" s="1313"/>
      <c r="D863" s="1313"/>
      <c r="E863" s="1314"/>
      <c r="F863" s="1315" t="s">
        <v>1151</v>
      </c>
      <c r="G863" s="1316"/>
      <c r="H863" s="1317"/>
    </row>
    <row r="864" spans="1:8" ht="21">
      <c r="A864" s="1318"/>
      <c r="B864" s="1319"/>
      <c r="C864" s="1320"/>
      <c r="D864" s="1320"/>
      <c r="E864" s="1321"/>
      <c r="F864" s="1322"/>
      <c r="G864" s="1323"/>
      <c r="H864" s="1324">
        <f>G862+G863</f>
        <v>1297500</v>
      </c>
    </row>
    <row r="865" spans="1:8" ht="21">
      <c r="A865" s="1311"/>
      <c r="B865" s="1312"/>
      <c r="C865" s="1313"/>
      <c r="D865" s="1313"/>
      <c r="E865" s="1314"/>
      <c r="F865" s="1315"/>
      <c r="G865" s="1325"/>
      <c r="H865" s="1326"/>
    </row>
    <row r="866" spans="1:8" ht="21">
      <c r="A866" s="1327"/>
      <c r="B866" s="1328"/>
      <c r="C866" s="1328"/>
      <c r="D866" s="1328"/>
      <c r="E866" s="1328"/>
      <c r="F866" s="1329"/>
      <c r="G866" s="1330" t="s">
        <v>28</v>
      </c>
      <c r="H866" s="1289">
        <f>H864+H854</f>
        <v>1297500</v>
      </c>
    </row>
    <row r="867" spans="1:8" ht="21">
      <c r="A867" s="1331"/>
      <c r="B867" s="1332"/>
      <c r="C867" s="1333"/>
      <c r="D867" s="1333"/>
      <c r="E867" s="1333"/>
      <c r="F867" s="1334"/>
      <c r="G867" s="1335" t="s">
        <v>30</v>
      </c>
      <c r="H867" s="1336">
        <f>ROUND(H866,-2)</f>
        <v>1297500</v>
      </c>
    </row>
    <row r="868" spans="1:8" ht="21">
      <c r="A868" s="1337"/>
      <c r="B868" s="1337"/>
      <c r="C868" s="1337"/>
      <c r="D868" s="1337"/>
      <c r="E868" s="1337"/>
      <c r="F868" s="1337"/>
      <c r="G868" s="1337"/>
      <c r="H868" s="1338"/>
    </row>
    <row r="869" spans="1:8" ht="21">
      <c r="A869" s="1339" t="s">
        <v>1150</v>
      </c>
      <c r="B869" s="1337"/>
      <c r="C869" s="1337"/>
      <c r="D869" s="1337"/>
      <c r="E869" s="1337"/>
      <c r="F869" s="1337"/>
      <c r="G869" s="1337"/>
      <c r="H869" s="1338"/>
    </row>
    <row r="870" spans="1:8" ht="21">
      <c r="A870" s="1337"/>
      <c r="B870" s="1340" t="s">
        <v>2233</v>
      </c>
      <c r="C870" s="1337"/>
      <c r="D870" s="1337"/>
      <c r="E870" s="1337"/>
      <c r="F870" s="1337"/>
      <c r="G870" s="1337"/>
      <c r="H870" s="1338"/>
    </row>
    <row r="871" spans="1:8" ht="21">
      <c r="A871" s="1337"/>
      <c r="B871" s="1337"/>
      <c r="C871" s="1337"/>
      <c r="D871" s="1337"/>
      <c r="E871" s="1337"/>
      <c r="F871" s="1337"/>
      <c r="G871" s="1337"/>
      <c r="H871" s="1338"/>
    </row>
    <row r="872" spans="1:8" ht="21">
      <c r="A872" s="1188"/>
      <c r="B872" s="1188"/>
      <c r="C872" s="1188"/>
      <c r="D872" s="1188"/>
      <c r="E872" s="1188"/>
      <c r="F872" s="1188"/>
      <c r="G872" s="1544" t="s">
        <v>2231</v>
      </c>
      <c r="H872" s="1544"/>
    </row>
    <row r="873" spans="1:8" ht="21">
      <c r="A873" s="1544" t="s">
        <v>31</v>
      </c>
      <c r="B873" s="1544"/>
      <c r="C873" s="1544" t="s">
        <v>32</v>
      </c>
      <c r="D873" s="1544"/>
      <c r="E873" s="1544"/>
      <c r="F873" s="1188"/>
      <c r="G873" s="1544" t="s">
        <v>33</v>
      </c>
      <c r="H873" s="1544"/>
    </row>
    <row r="874" spans="1:8" ht="21">
      <c r="A874" s="1188"/>
      <c r="B874" s="1188"/>
      <c r="C874" s="1188"/>
      <c r="D874" s="1188"/>
      <c r="E874" s="1188"/>
      <c r="F874" s="1188"/>
      <c r="G874" s="1188"/>
      <c r="H874" s="1188"/>
    </row>
    <row r="875" spans="1:8" ht="21">
      <c r="A875" s="1188"/>
      <c r="B875" s="1188"/>
      <c r="C875" s="1188"/>
      <c r="D875" s="1188"/>
      <c r="E875" s="1188"/>
      <c r="F875" s="1188"/>
      <c r="G875" s="1188"/>
      <c r="H875" s="1188"/>
    </row>
    <row r="876" spans="1:8" ht="21">
      <c r="A876" s="1188"/>
      <c r="B876" s="1188"/>
      <c r="C876" s="1188"/>
      <c r="D876" s="1188"/>
      <c r="E876" s="1188"/>
      <c r="F876" s="1188"/>
      <c r="G876" s="1188"/>
      <c r="H876" s="1188"/>
    </row>
    <row r="877" spans="1:8" ht="21">
      <c r="A877" s="1549" t="s">
        <v>1622</v>
      </c>
      <c r="B877" s="1549"/>
      <c r="C877" s="1549" t="s">
        <v>1603</v>
      </c>
      <c r="D877" s="1549"/>
      <c r="E877" s="1549"/>
      <c r="F877" s="1188"/>
      <c r="G877" s="1549" t="s">
        <v>1778</v>
      </c>
      <c r="H877" s="1549"/>
    </row>
    <row r="878" spans="1:8" ht="21">
      <c r="A878" s="1544" t="s">
        <v>37</v>
      </c>
      <c r="B878" s="1544"/>
      <c r="C878" s="1544" t="s">
        <v>1604</v>
      </c>
      <c r="D878" s="1544"/>
      <c r="E878" s="1544"/>
      <c r="F878" s="1188"/>
      <c r="G878" s="1544" t="s">
        <v>39</v>
      </c>
      <c r="H878" s="1544"/>
    </row>
    <row r="879" spans="1:8" ht="21">
      <c r="A879" s="1141"/>
      <c r="B879" s="1141"/>
      <c r="C879" s="1141"/>
      <c r="D879" s="1141"/>
      <c r="E879" s="1141"/>
      <c r="F879" s="1141"/>
      <c r="G879" s="1141"/>
      <c r="H879" s="1141"/>
    </row>
    <row r="888" spans="1:8">
      <c r="A888" s="415"/>
      <c r="B888" s="415"/>
      <c r="C888" s="415"/>
      <c r="D888" s="415"/>
      <c r="E888" s="415"/>
      <c r="F888" s="415"/>
      <c r="G888" s="415"/>
      <c r="H888" s="415"/>
    </row>
    <row r="889" spans="1:8" ht="24.6">
      <c r="A889" s="1078"/>
      <c r="B889" s="1079"/>
      <c r="C889" s="1558" t="s">
        <v>235</v>
      </c>
      <c r="D889" s="1558"/>
      <c r="E889" s="1558"/>
      <c r="F889" s="1558"/>
      <c r="G889" s="1558"/>
      <c r="H889" s="1558"/>
    </row>
    <row r="890" spans="1:8" ht="24.6">
      <c r="A890" s="1078"/>
      <c r="B890" s="1078"/>
      <c r="C890" s="1558" t="s">
        <v>1864</v>
      </c>
      <c r="D890" s="1558"/>
      <c r="E890" s="1558"/>
      <c r="F890" s="1558"/>
      <c r="G890" s="1558"/>
      <c r="H890" s="1558"/>
    </row>
    <row r="891" spans="1:8" ht="24.6">
      <c r="A891" s="1078"/>
      <c r="B891" s="1078"/>
      <c r="C891" s="1558" t="s">
        <v>1301</v>
      </c>
      <c r="D891" s="1558"/>
      <c r="E891" s="1558"/>
      <c r="F891" s="1558"/>
      <c r="G891" s="1558"/>
      <c r="H891" s="1558"/>
    </row>
    <row r="892" spans="1:8" ht="24.6">
      <c r="A892" s="1078"/>
      <c r="B892" s="1078"/>
      <c r="C892" s="1558" t="s">
        <v>507</v>
      </c>
      <c r="D892" s="1558"/>
      <c r="E892" s="1558"/>
      <c r="F892" s="1558"/>
      <c r="G892" s="1558"/>
      <c r="H892" s="1558"/>
    </row>
    <row r="893" spans="1:8">
      <c r="A893" s="416"/>
      <c r="B893" s="416"/>
      <c r="C893" s="416"/>
      <c r="D893" s="416"/>
      <c r="E893" s="416"/>
      <c r="F893" s="416"/>
      <c r="G893" s="416"/>
      <c r="H893" s="416"/>
    </row>
    <row r="894" spans="1:8" ht="17.399999999999999">
      <c r="A894" s="1560" t="s">
        <v>3</v>
      </c>
      <c r="B894" s="1560" t="s">
        <v>4</v>
      </c>
      <c r="C894" s="1560" t="s">
        <v>5</v>
      </c>
      <c r="D894" s="1560" t="s">
        <v>6</v>
      </c>
      <c r="E894" s="1560" t="s">
        <v>7</v>
      </c>
      <c r="F894" s="1087" t="s">
        <v>8</v>
      </c>
      <c r="G894" s="1087" t="s">
        <v>9</v>
      </c>
      <c r="H894" s="1087" t="s">
        <v>10</v>
      </c>
    </row>
    <row r="895" spans="1:8" ht="17.399999999999999">
      <c r="A895" s="1561"/>
      <c r="B895" s="1561"/>
      <c r="C895" s="1561"/>
      <c r="D895" s="1561"/>
      <c r="E895" s="1561"/>
      <c r="F895" s="1088" t="s">
        <v>11</v>
      </c>
      <c r="G895" s="1088" t="s">
        <v>11</v>
      </c>
      <c r="H895" s="1088" t="s">
        <v>11</v>
      </c>
    </row>
    <row r="896" spans="1:8" ht="17.399999999999999">
      <c r="A896" s="1089" t="s">
        <v>12</v>
      </c>
      <c r="B896" s="1090" t="s">
        <v>508</v>
      </c>
      <c r="C896" s="1091"/>
      <c r="D896" s="1092"/>
      <c r="E896" s="1092"/>
      <c r="F896" s="1093"/>
      <c r="G896" s="1094"/>
      <c r="H896" s="1095"/>
    </row>
    <row r="897" spans="1:8" ht="17.399999999999999">
      <c r="A897" s="1096">
        <v>1</v>
      </c>
      <c r="B897" s="1093" t="s">
        <v>509</v>
      </c>
      <c r="C897" s="1091">
        <v>42</v>
      </c>
      <c r="D897" s="1092" t="s">
        <v>44</v>
      </c>
      <c r="E897" s="1092" t="s">
        <v>16</v>
      </c>
      <c r="F897" s="1091">
        <v>26000</v>
      </c>
      <c r="G897" s="1094">
        <f>C897*F897</f>
        <v>1092000</v>
      </c>
      <c r="H897" s="1095"/>
    </row>
    <row r="898" spans="1:8" ht="17.399999999999999">
      <c r="A898" s="1096">
        <f>A897+1</f>
        <v>2</v>
      </c>
      <c r="B898" s="1093" t="s">
        <v>510</v>
      </c>
      <c r="C898" s="1091">
        <v>1</v>
      </c>
      <c r="D898" s="1092" t="s">
        <v>138</v>
      </c>
      <c r="E898" s="1092" t="s">
        <v>16</v>
      </c>
      <c r="F898" s="1095">
        <v>12043600</v>
      </c>
      <c r="G898" s="1094">
        <f>C898*F898</f>
        <v>12043600</v>
      </c>
      <c r="H898" s="1095"/>
    </row>
    <row r="899" spans="1:8" ht="17.399999999999999">
      <c r="A899" s="1096"/>
      <c r="B899" s="1093" t="s">
        <v>511</v>
      </c>
      <c r="C899" s="1091"/>
      <c r="D899" s="1092"/>
      <c r="E899" s="1092"/>
      <c r="F899" s="1095"/>
      <c r="G899" s="1094"/>
      <c r="H899" s="1095"/>
    </row>
    <row r="900" spans="1:8" ht="17.399999999999999">
      <c r="A900" s="1096">
        <f>A898+1</f>
        <v>3</v>
      </c>
      <c r="B900" s="1093" t="s">
        <v>512</v>
      </c>
      <c r="C900" s="1094">
        <v>3</v>
      </c>
      <c r="D900" s="1097" t="s">
        <v>47</v>
      </c>
      <c r="E900" s="1092" t="s">
        <v>82</v>
      </c>
      <c r="F900" s="1095">
        <v>220000</v>
      </c>
      <c r="G900" s="1094">
        <f>C900*F900</f>
        <v>660000</v>
      </c>
      <c r="H900" s="1095"/>
    </row>
    <row r="901" spans="1:8" ht="17.399999999999999">
      <c r="A901" s="1096">
        <f>A900+1</f>
        <v>4</v>
      </c>
      <c r="B901" s="1093" t="s">
        <v>513</v>
      </c>
      <c r="C901" s="1094">
        <v>1</v>
      </c>
      <c r="D901" s="1097" t="s">
        <v>138</v>
      </c>
      <c r="E901" s="1092" t="s">
        <v>16</v>
      </c>
      <c r="F901" s="1091">
        <v>1032100</v>
      </c>
      <c r="G901" s="1094">
        <f>C901*F901</f>
        <v>1032100</v>
      </c>
      <c r="H901" s="1095"/>
    </row>
    <row r="902" spans="1:8" ht="17.399999999999999">
      <c r="A902" s="1096"/>
      <c r="B902" s="1093" t="s">
        <v>514</v>
      </c>
      <c r="C902" s="1094"/>
      <c r="D902" s="1097"/>
      <c r="E902" s="1092"/>
      <c r="F902" s="1091"/>
      <c r="G902" s="1094"/>
      <c r="H902" s="1095"/>
    </row>
    <row r="903" spans="1:8" ht="17.399999999999999">
      <c r="A903" s="1096">
        <f>A901+1</f>
        <v>5</v>
      </c>
      <c r="B903" s="1093" t="s">
        <v>515</v>
      </c>
      <c r="C903" s="1094">
        <v>1</v>
      </c>
      <c r="D903" s="1097" t="s">
        <v>138</v>
      </c>
      <c r="E903" s="1092" t="s">
        <v>51</v>
      </c>
      <c r="F903" s="1091">
        <v>1500000</v>
      </c>
      <c r="G903" s="1094">
        <f>C903*F903</f>
        <v>1500000</v>
      </c>
      <c r="H903" s="1095"/>
    </row>
    <row r="904" spans="1:8" ht="17.399999999999999">
      <c r="A904" s="1096">
        <f>A903+1</f>
        <v>6</v>
      </c>
      <c r="B904" s="1093" t="s">
        <v>516</v>
      </c>
      <c r="C904" s="1094">
        <v>1</v>
      </c>
      <c r="D904" s="1097" t="s">
        <v>138</v>
      </c>
      <c r="E904" s="1092" t="s">
        <v>51</v>
      </c>
      <c r="F904" s="1091">
        <v>3500000</v>
      </c>
      <c r="G904" s="1094">
        <f>C904*F904</f>
        <v>3500000</v>
      </c>
      <c r="H904" s="1095"/>
    </row>
    <row r="905" spans="1:8" ht="17.399999999999999">
      <c r="A905" s="1096"/>
      <c r="B905" s="1093" t="s">
        <v>517</v>
      </c>
      <c r="C905" s="1094"/>
      <c r="D905" s="1097"/>
      <c r="E905" s="1092"/>
      <c r="F905" s="1091"/>
      <c r="G905" s="1094"/>
      <c r="H905" s="1095"/>
    </row>
    <row r="906" spans="1:8" ht="17.399999999999999">
      <c r="A906" s="1096">
        <f>A904+1</f>
        <v>7</v>
      </c>
      <c r="B906" s="1093" t="s">
        <v>518</v>
      </c>
      <c r="C906" s="1094">
        <v>1</v>
      </c>
      <c r="D906" s="1097" t="s">
        <v>138</v>
      </c>
      <c r="E906" s="1092" t="s">
        <v>51</v>
      </c>
      <c r="F906" s="1091">
        <v>4500000</v>
      </c>
      <c r="G906" s="1094">
        <f t="shared" ref="G906:G913" si="2">C906*F906</f>
        <v>4500000</v>
      </c>
      <c r="H906" s="1095"/>
    </row>
    <row r="907" spans="1:8" ht="17.399999999999999">
      <c r="A907" s="1096"/>
      <c r="B907" s="1093" t="s">
        <v>519</v>
      </c>
      <c r="C907" s="1094"/>
      <c r="D907" s="1097"/>
      <c r="E907" s="1092"/>
      <c r="F907" s="1091"/>
      <c r="G907" s="1094">
        <f t="shared" si="2"/>
        <v>0</v>
      </c>
      <c r="H907" s="1095"/>
    </row>
    <row r="908" spans="1:8" ht="17.399999999999999">
      <c r="A908" s="1096">
        <f>A906+1</f>
        <v>8</v>
      </c>
      <c r="B908" s="1093" t="s">
        <v>520</v>
      </c>
      <c r="C908" s="1094">
        <v>1</v>
      </c>
      <c r="D908" s="1097" t="s">
        <v>138</v>
      </c>
      <c r="E908" s="1092" t="s">
        <v>51</v>
      </c>
      <c r="F908" s="1091">
        <v>2500000</v>
      </c>
      <c r="G908" s="1094">
        <f t="shared" si="2"/>
        <v>2500000</v>
      </c>
      <c r="H908" s="1095"/>
    </row>
    <row r="909" spans="1:8" ht="17.399999999999999">
      <c r="A909" s="1096"/>
      <c r="B909" s="1093" t="s">
        <v>519</v>
      </c>
      <c r="C909" s="1094"/>
      <c r="D909" s="1097"/>
      <c r="E909" s="1092"/>
      <c r="F909" s="1091"/>
      <c r="G909" s="1094">
        <f t="shared" si="2"/>
        <v>0</v>
      </c>
      <c r="H909" s="1095"/>
    </row>
    <row r="910" spans="1:8" ht="17.399999999999999">
      <c r="A910" s="1096">
        <f>A908+1</f>
        <v>9</v>
      </c>
      <c r="B910" s="1093" t="s">
        <v>521</v>
      </c>
      <c r="C910" s="1094">
        <v>1</v>
      </c>
      <c r="D910" s="1097" t="s">
        <v>138</v>
      </c>
      <c r="E910" s="1092" t="s">
        <v>51</v>
      </c>
      <c r="F910" s="1091">
        <v>1500000</v>
      </c>
      <c r="G910" s="1094">
        <f t="shared" si="2"/>
        <v>1500000</v>
      </c>
      <c r="H910" s="1095"/>
    </row>
    <row r="911" spans="1:8" ht="17.399999999999999">
      <c r="A911" s="1096">
        <f>A910+1</f>
        <v>10</v>
      </c>
      <c r="B911" s="1093" t="s">
        <v>522</v>
      </c>
      <c r="C911" s="1094">
        <v>1</v>
      </c>
      <c r="D911" s="1097" t="s">
        <v>138</v>
      </c>
      <c r="E911" s="1092" t="s">
        <v>51</v>
      </c>
      <c r="F911" s="1091">
        <v>2000000</v>
      </c>
      <c r="G911" s="1094">
        <f t="shared" si="2"/>
        <v>2000000</v>
      </c>
      <c r="H911" s="1095"/>
    </row>
    <row r="912" spans="1:8" ht="17.399999999999999">
      <c r="A912" s="1096">
        <f>A911+1</f>
        <v>11</v>
      </c>
      <c r="B912" s="1093" t="s">
        <v>1865</v>
      </c>
      <c r="C912" s="1094">
        <v>1</v>
      </c>
      <c r="D912" s="1097" t="s">
        <v>524</v>
      </c>
      <c r="E912" s="1092" t="s">
        <v>16</v>
      </c>
      <c r="F912" s="1091">
        <v>3000000</v>
      </c>
      <c r="G912" s="1094">
        <f t="shared" si="2"/>
        <v>3000000</v>
      </c>
      <c r="H912" s="1095"/>
    </row>
    <row r="913" spans="1:8" ht="17.399999999999999">
      <c r="A913" s="1096">
        <f>A912+1</f>
        <v>12</v>
      </c>
      <c r="B913" s="1093" t="s">
        <v>525</v>
      </c>
      <c r="C913" s="1094">
        <v>1</v>
      </c>
      <c r="D913" s="1097" t="s">
        <v>21</v>
      </c>
      <c r="E913" s="1092" t="s">
        <v>82</v>
      </c>
      <c r="F913" s="1091">
        <v>763560</v>
      </c>
      <c r="G913" s="1094">
        <f t="shared" si="2"/>
        <v>763560</v>
      </c>
      <c r="H913" s="1095"/>
    </row>
    <row r="914" spans="1:8" ht="17.399999999999999">
      <c r="A914" s="1096"/>
      <c r="B914" s="1093"/>
      <c r="C914" s="1094"/>
      <c r="D914" s="1097"/>
      <c r="E914" s="1092"/>
      <c r="F914" s="1091"/>
      <c r="G914" s="1094"/>
      <c r="H914" s="1095"/>
    </row>
    <row r="915" spans="1:8" ht="17.399999999999999">
      <c r="A915" s="1098"/>
      <c r="B915" s="1099"/>
      <c r="C915" s="1100"/>
      <c r="D915" s="1101"/>
      <c r="E915" s="1102"/>
      <c r="F915" s="1100"/>
      <c r="G915" s="1103" t="s">
        <v>486</v>
      </c>
      <c r="H915" s="1104">
        <f>SUM(G897:G914)</f>
        <v>34091260</v>
      </c>
    </row>
    <row r="916" spans="1:8" ht="17.399999999999999">
      <c r="A916" s="1105"/>
      <c r="B916" s="1106"/>
      <c r="C916" s="1107"/>
      <c r="D916" s="1108"/>
      <c r="E916" s="1109"/>
      <c r="F916" s="1107"/>
      <c r="G916" s="1110"/>
      <c r="H916" s="1091"/>
    </row>
    <row r="917" spans="1:8" ht="18">
      <c r="A917" s="1111"/>
      <c r="B917" s="1112"/>
      <c r="C917" s="1112"/>
      <c r="D917" s="1112"/>
      <c r="E917" s="1112"/>
      <c r="F917" s="1113"/>
      <c r="G917" s="1114" t="s">
        <v>503</v>
      </c>
      <c r="H917" s="1115">
        <f>H915</f>
        <v>34091260</v>
      </c>
    </row>
    <row r="918" spans="1:8" ht="18.600000000000001" thickBot="1">
      <c r="A918" s="1083"/>
      <c r="B918" s="1084"/>
      <c r="C918" s="1084"/>
      <c r="D918" s="1084"/>
      <c r="E918" s="1084"/>
      <c r="F918" s="1116"/>
      <c r="G918" s="1117" t="s">
        <v>460</v>
      </c>
      <c r="H918" s="1118">
        <f>H917*10%</f>
        <v>3409126</v>
      </c>
    </row>
    <row r="919" spans="1:8" ht="18">
      <c r="A919" s="1083" t="s">
        <v>27</v>
      </c>
      <c r="B919" s="1084"/>
      <c r="C919" s="1084"/>
      <c r="D919" s="1084"/>
      <c r="E919" s="1084"/>
      <c r="F919" s="1116"/>
      <c r="G919" s="1093" t="s">
        <v>28</v>
      </c>
      <c r="H919" s="1119">
        <f>H917+H918</f>
        <v>37500386</v>
      </c>
    </row>
    <row r="920" spans="1:8" ht="18">
      <c r="A920" s="1085"/>
      <c r="B920" s="1086" t="s">
        <v>1866</v>
      </c>
      <c r="C920" s="1120"/>
      <c r="D920" s="1120"/>
      <c r="E920" s="1120"/>
      <c r="F920" s="1121"/>
      <c r="G920" s="1122" t="s">
        <v>30</v>
      </c>
      <c r="H920" s="1123">
        <f>ROUND(H919,-2)</f>
        <v>37500400</v>
      </c>
    </row>
    <row r="921" spans="1:8">
      <c r="A921" s="474"/>
      <c r="B921" s="474"/>
      <c r="C921" s="474"/>
      <c r="D921" s="474"/>
      <c r="E921" s="474"/>
      <c r="F921" s="474"/>
      <c r="G921" s="474"/>
      <c r="H921" s="475"/>
    </row>
    <row r="923" spans="1:8" ht="20.399999999999999">
      <c r="A923" s="1124"/>
      <c r="B923" s="1124"/>
      <c r="C923" s="1124"/>
      <c r="D923" s="1124"/>
      <c r="E923" s="1124"/>
      <c r="F923" s="1124"/>
      <c r="G923" s="1559" t="s">
        <v>1995</v>
      </c>
      <c r="H923" s="1559"/>
    </row>
    <row r="924" spans="1:8" ht="20.399999999999999">
      <c r="A924" s="1559" t="s">
        <v>234</v>
      </c>
      <c r="B924" s="1559"/>
      <c r="C924" s="1559" t="s">
        <v>32</v>
      </c>
      <c r="D924" s="1559"/>
      <c r="E924" s="1559"/>
      <c r="F924" s="1124"/>
      <c r="G924" s="1559" t="s">
        <v>33</v>
      </c>
      <c r="H924" s="1559"/>
    </row>
    <row r="925" spans="1:8" ht="20.399999999999999">
      <c r="A925" s="1124"/>
      <c r="B925" s="1124"/>
      <c r="C925" s="1124"/>
      <c r="D925" s="1124"/>
      <c r="E925" s="1124"/>
      <c r="F925" s="1124"/>
      <c r="G925" s="1124"/>
      <c r="H925" s="1124"/>
    </row>
    <row r="926" spans="1:8" ht="20.399999999999999">
      <c r="A926" s="1124"/>
      <c r="B926" s="1124"/>
      <c r="C926" s="1124"/>
      <c r="D926" s="1124"/>
      <c r="E926" s="1124"/>
      <c r="F926" s="1124"/>
      <c r="G926" s="1124"/>
      <c r="H926" s="1124"/>
    </row>
    <row r="927" spans="1:8" ht="20.399999999999999">
      <c r="A927" s="1124"/>
      <c r="B927" s="1124"/>
      <c r="C927" s="1124"/>
      <c r="D927" s="1124"/>
      <c r="E927" s="1124"/>
      <c r="F927" s="1124"/>
      <c r="G927" s="1124"/>
      <c r="H927" s="1124"/>
    </row>
    <row r="928" spans="1:8" ht="21">
      <c r="A928" s="1562" t="s">
        <v>1822</v>
      </c>
      <c r="B928" s="1562"/>
      <c r="C928" s="1562" t="s">
        <v>1134</v>
      </c>
      <c r="D928" s="1562"/>
      <c r="E928" s="1562"/>
      <c r="F928" s="1124"/>
      <c r="G928" s="1562" t="s">
        <v>1661</v>
      </c>
      <c r="H928" s="1562"/>
    </row>
    <row r="929" spans="1:8" ht="20.399999999999999">
      <c r="A929" s="1559" t="s">
        <v>37</v>
      </c>
      <c r="B929" s="1559"/>
      <c r="C929" s="1559" t="s">
        <v>1867</v>
      </c>
      <c r="D929" s="1559"/>
      <c r="E929" s="1559"/>
      <c r="F929" s="1124"/>
      <c r="G929" s="1559" t="s">
        <v>39</v>
      </c>
      <c r="H929" s="1559"/>
    </row>
    <row r="930" spans="1:8" ht="17.399999999999999">
      <c r="A930" s="1080"/>
      <c r="B930" s="1080"/>
      <c r="C930" s="1080"/>
      <c r="D930" s="1080"/>
      <c r="E930" s="1080"/>
      <c r="F930" s="1080"/>
      <c r="G930" s="1080"/>
      <c r="H930" s="1080"/>
    </row>
    <row r="936" spans="1:8" ht="28.8">
      <c r="A936" s="597"/>
      <c r="B936" s="597"/>
      <c r="C936" s="1513" t="s">
        <v>235</v>
      </c>
      <c r="D936" s="1513"/>
      <c r="E936" s="1513"/>
      <c r="F936" s="1513"/>
      <c r="G936" s="1513"/>
      <c r="H936" s="1513"/>
    </row>
    <row r="937" spans="1:8" ht="28.8">
      <c r="A937" s="597"/>
      <c r="B937" s="597"/>
      <c r="C937" s="1541" t="s">
        <v>1984</v>
      </c>
      <c r="D937" s="1541"/>
      <c r="E937" s="1541"/>
      <c r="F937" s="1541"/>
      <c r="G937" s="1541"/>
      <c r="H937" s="1541"/>
    </row>
    <row r="938" spans="1:8" ht="23.4">
      <c r="A938" s="830"/>
      <c r="B938" s="830"/>
      <c r="C938" s="1537" t="s">
        <v>1078</v>
      </c>
      <c r="D938" s="1537"/>
      <c r="E938" s="1537"/>
      <c r="F938" s="1537"/>
      <c r="G938" s="1537"/>
      <c r="H938" s="1537"/>
    </row>
    <row r="939" spans="1:8" ht="15.6">
      <c r="A939" s="769"/>
      <c r="B939" s="769"/>
      <c r="C939" s="769"/>
      <c r="D939" s="769"/>
      <c r="E939" s="769"/>
      <c r="F939" s="769"/>
      <c r="G939" s="769"/>
      <c r="H939" s="769"/>
    </row>
    <row r="940" spans="1:8" ht="15.6">
      <c r="A940" s="769"/>
      <c r="B940" s="769"/>
      <c r="C940" s="769"/>
      <c r="D940" s="769"/>
      <c r="E940" s="769"/>
      <c r="F940" s="769"/>
      <c r="G940" s="769"/>
      <c r="H940" s="769"/>
    </row>
    <row r="941" spans="1:8" ht="15.6">
      <c r="A941" s="1516" t="s">
        <v>3</v>
      </c>
      <c r="B941" s="1516" t="s">
        <v>4</v>
      </c>
      <c r="C941" s="1516" t="s">
        <v>5</v>
      </c>
      <c r="D941" s="1516" t="s">
        <v>6</v>
      </c>
      <c r="E941" s="1516" t="s">
        <v>7</v>
      </c>
      <c r="F941" s="770" t="s">
        <v>8</v>
      </c>
      <c r="G941" s="770" t="s">
        <v>9</v>
      </c>
      <c r="H941" s="770" t="s">
        <v>10</v>
      </c>
    </row>
    <row r="942" spans="1:8" ht="15.6">
      <c r="A942" s="1517"/>
      <c r="B942" s="1517"/>
      <c r="C942" s="1517"/>
      <c r="D942" s="1517"/>
      <c r="E942" s="1517"/>
      <c r="F942" s="771" t="s">
        <v>11</v>
      </c>
      <c r="G942" s="771" t="s">
        <v>11</v>
      </c>
      <c r="H942" s="771" t="s">
        <v>11</v>
      </c>
    </row>
    <row r="943" spans="1:8" ht="15.6">
      <c r="A943" s="770" t="s">
        <v>12</v>
      </c>
      <c r="B943" s="772" t="s">
        <v>364</v>
      </c>
      <c r="C943" s="773"/>
      <c r="D943" s="774"/>
      <c r="E943" s="774"/>
      <c r="F943" s="774"/>
      <c r="G943" s="775"/>
      <c r="H943" s="776"/>
    </row>
    <row r="944" spans="1:8" ht="15.6">
      <c r="A944" s="786"/>
      <c r="B944" s="969" t="s">
        <v>1985</v>
      </c>
      <c r="C944" s="779">
        <v>2</v>
      </c>
      <c r="D944" s="780" t="s">
        <v>44</v>
      </c>
      <c r="E944" s="780" t="s">
        <v>197</v>
      </c>
      <c r="F944" s="791" t="s">
        <v>126</v>
      </c>
      <c r="G944" s="791" t="s">
        <v>126</v>
      </c>
      <c r="H944" s="971"/>
    </row>
    <row r="945" spans="1:10" ht="15.6">
      <c r="A945" s="786"/>
      <c r="B945" s="969" t="s">
        <v>1986</v>
      </c>
      <c r="C945" s="779">
        <v>1</v>
      </c>
      <c r="D945" s="780" t="s">
        <v>245</v>
      </c>
      <c r="E945" s="780" t="s">
        <v>197</v>
      </c>
      <c r="F945" s="791" t="s">
        <v>126</v>
      </c>
      <c r="G945" s="791" t="s">
        <v>126</v>
      </c>
      <c r="H945" s="971"/>
    </row>
    <row r="946" spans="1:10" ht="15.6">
      <c r="A946" s="786"/>
      <c r="B946" s="969" t="s">
        <v>1987</v>
      </c>
      <c r="C946" s="779">
        <v>1</v>
      </c>
      <c r="D946" s="780" t="s">
        <v>1373</v>
      </c>
      <c r="E946" s="780" t="s">
        <v>51</v>
      </c>
      <c r="F946" s="788">
        <v>65000</v>
      </c>
      <c r="G946" s="788">
        <f>F946*C946</f>
        <v>65000</v>
      </c>
      <c r="H946" s="971"/>
    </row>
    <row r="947" spans="1:10" ht="15.6">
      <c r="A947" s="786"/>
      <c r="B947" s="969" t="s">
        <v>1988</v>
      </c>
      <c r="C947" s="779">
        <v>1</v>
      </c>
      <c r="D947" s="780" t="s">
        <v>1373</v>
      </c>
      <c r="E947" s="780" t="s">
        <v>51</v>
      </c>
      <c r="F947" s="788">
        <v>65000</v>
      </c>
      <c r="G947" s="788">
        <f>F947*C947</f>
        <v>65000</v>
      </c>
      <c r="H947" s="971"/>
    </row>
    <row r="948" spans="1:10" ht="15.6">
      <c r="A948" s="786"/>
      <c r="B948" s="969" t="s">
        <v>1989</v>
      </c>
      <c r="C948" s="779">
        <v>1</v>
      </c>
      <c r="D948" s="780" t="s">
        <v>44</v>
      </c>
      <c r="E948" s="780" t="s">
        <v>51</v>
      </c>
      <c r="F948" s="788">
        <v>20000</v>
      </c>
      <c r="G948" s="788">
        <f>F948*C948</f>
        <v>20000</v>
      </c>
      <c r="H948" s="971"/>
    </row>
    <row r="949" spans="1:10" ht="15.6">
      <c r="A949" s="814"/>
      <c r="B949" s="806"/>
      <c r="C949" s="815"/>
      <c r="D949" s="816"/>
      <c r="E949" s="816"/>
      <c r="F949" s="817"/>
      <c r="G949" s="817"/>
      <c r="H949" s="818">
        <f>SUM(G943:G949)</f>
        <v>150000</v>
      </c>
    </row>
    <row r="950" spans="1:10" ht="15.6">
      <c r="A950" s="786" t="s">
        <v>18</v>
      </c>
      <c r="B950" s="787" t="s">
        <v>19</v>
      </c>
      <c r="C950" s="782"/>
      <c r="D950" s="780"/>
      <c r="E950" s="780"/>
      <c r="F950" s="778"/>
      <c r="G950" s="788"/>
      <c r="H950" s="789"/>
    </row>
    <row r="951" spans="1:10" ht="15.6">
      <c r="A951" s="790"/>
      <c r="B951" s="969" t="s">
        <v>1936</v>
      </c>
      <c r="C951" s="779">
        <v>3</v>
      </c>
      <c r="D951" s="780" t="s">
        <v>1774</v>
      </c>
      <c r="E951" s="780" t="s">
        <v>82</v>
      </c>
      <c r="F951" s="788">
        <v>90000</v>
      </c>
      <c r="G951" s="788">
        <f>F951*C951</f>
        <v>270000</v>
      </c>
      <c r="H951" s="789"/>
    </row>
    <row r="952" spans="1:10" ht="15.6">
      <c r="A952" s="790"/>
      <c r="B952" s="777"/>
      <c r="C952" s="788"/>
      <c r="D952" s="780"/>
      <c r="E952" s="780"/>
      <c r="F952" s="788"/>
      <c r="G952" s="788"/>
      <c r="H952" s="789"/>
    </row>
    <row r="953" spans="1:10" ht="15.6">
      <c r="A953" s="793"/>
      <c r="B953" s="783"/>
      <c r="C953" s="794"/>
      <c r="D953" s="795"/>
      <c r="E953" s="811"/>
      <c r="F953" s="811" t="s">
        <v>25</v>
      </c>
      <c r="G953" s="813">
        <f>SUM(G951:G952)</f>
        <v>270000</v>
      </c>
      <c r="H953" s="810"/>
    </row>
    <row r="954" spans="1:10" ht="15.6">
      <c r="A954" s="820"/>
      <c r="B954" s="821"/>
      <c r="C954" s="822"/>
      <c r="D954" s="822"/>
      <c r="E954" s="823"/>
      <c r="F954" s="819" t="s">
        <v>1151</v>
      </c>
      <c r="G954" s="964"/>
      <c r="H954" s="825"/>
      <c r="J954" s="1">
        <f>SUM(G1065:G1070)</f>
        <v>262500</v>
      </c>
    </row>
    <row r="955" spans="1:10" ht="15.6">
      <c r="A955" s="796"/>
      <c r="B955" s="797"/>
      <c r="C955" s="784"/>
      <c r="D955" s="784"/>
      <c r="E955" s="785"/>
      <c r="F955" s="812"/>
      <c r="G955" s="798"/>
      <c r="H955" s="826">
        <f>G953+G954</f>
        <v>270000</v>
      </c>
    </row>
    <row r="956" spans="1:10" ht="15.6">
      <c r="A956" s="820"/>
      <c r="B956" s="821"/>
      <c r="C956" s="822"/>
      <c r="D956" s="822"/>
      <c r="E956" s="823"/>
      <c r="F956" s="819"/>
      <c r="G956" s="824"/>
      <c r="H956" s="827"/>
    </row>
    <row r="957" spans="1:10" ht="15.6">
      <c r="A957" s="799"/>
      <c r="B957" s="800"/>
      <c r="C957" s="800"/>
      <c r="D957" s="800"/>
      <c r="E957" s="800"/>
      <c r="F957" s="801"/>
      <c r="G957" s="828" t="s">
        <v>28</v>
      </c>
      <c r="H957" s="775">
        <f>H955+H949</f>
        <v>420000</v>
      </c>
    </row>
    <row r="958" spans="1:10" ht="15.6">
      <c r="A958" s="802"/>
      <c r="B958" s="803"/>
      <c r="C958" s="804"/>
      <c r="D958" s="804"/>
      <c r="E958" s="804"/>
      <c r="F958" s="805"/>
      <c r="G958" s="829" t="s">
        <v>30</v>
      </c>
      <c r="H958" s="807">
        <f>ROUND(H957,-3)</f>
        <v>420000</v>
      </c>
    </row>
    <row r="959" spans="1:10" ht="15.6">
      <c r="A959" s="49"/>
      <c r="B959" s="49"/>
      <c r="C959" s="49"/>
      <c r="D959" s="49"/>
      <c r="E959" s="49"/>
      <c r="F959" s="49"/>
      <c r="G959" s="49"/>
      <c r="H959" s="50"/>
    </row>
    <row r="960" spans="1:10" ht="18">
      <c r="A960" s="768" t="s">
        <v>1150</v>
      </c>
      <c r="B960" s="49"/>
      <c r="C960" s="49"/>
      <c r="D960" s="49"/>
      <c r="E960" s="49"/>
      <c r="F960" s="49"/>
      <c r="G960" s="49"/>
      <c r="H960" s="50"/>
    </row>
    <row r="961" spans="1:8" ht="17.399999999999999">
      <c r="A961" s="49"/>
      <c r="B961" s="965" t="s">
        <v>2000</v>
      </c>
      <c r="C961" s="49"/>
      <c r="D961" s="49"/>
      <c r="E961" s="49"/>
      <c r="F961" s="49"/>
      <c r="G961" s="49"/>
      <c r="H961" s="50"/>
    </row>
    <row r="962" spans="1:8" ht="15.6">
      <c r="A962" s="49"/>
      <c r="B962" s="49"/>
      <c r="C962" s="49"/>
      <c r="D962" s="49"/>
      <c r="E962" s="49"/>
      <c r="F962" s="49"/>
      <c r="G962" s="49"/>
      <c r="H962" s="50"/>
    </row>
    <row r="963" spans="1:8" ht="18">
      <c r="A963" s="51"/>
      <c r="B963" s="51"/>
      <c r="C963" s="51"/>
      <c r="D963" s="51"/>
      <c r="E963" s="51"/>
      <c r="F963" s="51"/>
      <c r="G963" s="1530" t="s">
        <v>1999</v>
      </c>
      <c r="H963" s="1530"/>
    </row>
    <row r="964" spans="1:8" ht="18">
      <c r="A964" s="1530" t="s">
        <v>31</v>
      </c>
      <c r="B964" s="1530"/>
      <c r="C964" s="1530" t="s">
        <v>32</v>
      </c>
      <c r="D964" s="1530"/>
      <c r="E964" s="1530"/>
      <c r="F964" s="958"/>
      <c r="G964" s="1530" t="s">
        <v>33</v>
      </c>
      <c r="H964" s="1530"/>
    </row>
    <row r="965" spans="1:8" ht="18">
      <c r="A965" s="958"/>
      <c r="B965" s="958"/>
      <c r="C965" s="958"/>
      <c r="D965" s="958"/>
      <c r="E965" s="958"/>
      <c r="F965" s="958"/>
      <c r="G965" s="958"/>
      <c r="H965" s="958"/>
    </row>
    <row r="966" spans="1:8" ht="18">
      <c r="A966" s="958"/>
      <c r="B966" s="958"/>
      <c r="C966" s="958"/>
      <c r="D966" s="958"/>
      <c r="E966" s="958"/>
      <c r="F966" s="958"/>
      <c r="G966" s="958"/>
      <c r="H966" s="958"/>
    </row>
    <row r="967" spans="1:8" ht="18">
      <c r="A967" s="958"/>
      <c r="B967" s="958"/>
      <c r="C967" s="958"/>
      <c r="D967" s="958"/>
      <c r="E967" s="958"/>
      <c r="F967" s="958"/>
      <c r="G967" s="958"/>
      <c r="H967" s="958"/>
    </row>
    <row r="968" spans="1:8" ht="18">
      <c r="A968" s="1529" t="s">
        <v>1622</v>
      </c>
      <c r="B968" s="1529"/>
      <c r="C968" s="1529" t="s">
        <v>1603</v>
      </c>
      <c r="D968" s="1529"/>
      <c r="E968" s="1529"/>
      <c r="F968" s="958"/>
      <c r="G968" s="1529" t="s">
        <v>1661</v>
      </c>
      <c r="H968" s="1529"/>
    </row>
    <row r="969" spans="1:8" ht="18">
      <c r="A969" s="1530" t="s">
        <v>37</v>
      </c>
      <c r="B969" s="1530"/>
      <c r="C969" s="1530" t="s">
        <v>1604</v>
      </c>
      <c r="D969" s="1530"/>
      <c r="E969" s="1530"/>
      <c r="F969" s="958"/>
      <c r="G969" s="1530" t="s">
        <v>39</v>
      </c>
      <c r="H969" s="1530"/>
    </row>
    <row r="979" spans="1:8" ht="28.8">
      <c r="A979" s="597"/>
      <c r="B979" s="597"/>
      <c r="C979" s="1513" t="s">
        <v>235</v>
      </c>
      <c r="D979" s="1513"/>
      <c r="E979" s="1513"/>
      <c r="F979" s="1513"/>
      <c r="G979" s="1513"/>
      <c r="H979" s="1513"/>
    </row>
    <row r="980" spans="1:8" ht="28.8">
      <c r="A980" s="597"/>
      <c r="B980" s="597"/>
      <c r="C980" s="1541" t="s">
        <v>1982</v>
      </c>
      <c r="D980" s="1541"/>
      <c r="E980" s="1541"/>
      <c r="F980" s="1541"/>
      <c r="G980" s="1541"/>
      <c r="H980" s="1541"/>
    </row>
    <row r="981" spans="1:8" ht="23.4">
      <c r="A981" s="830"/>
      <c r="B981" s="830"/>
      <c r="C981" s="1537" t="s">
        <v>466</v>
      </c>
      <c r="D981" s="1537"/>
      <c r="E981" s="1537"/>
      <c r="F981" s="1537"/>
      <c r="G981" s="1537"/>
      <c r="H981" s="1537"/>
    </row>
    <row r="982" spans="1:8" ht="15.6">
      <c r="A982" s="769"/>
      <c r="B982" s="769"/>
      <c r="C982" s="769"/>
      <c r="D982" s="769"/>
      <c r="E982" s="769"/>
      <c r="F982" s="769"/>
      <c r="G982" s="769"/>
      <c r="H982" s="769"/>
    </row>
    <row r="983" spans="1:8" ht="15.6">
      <c r="A983" s="769"/>
      <c r="B983" s="769"/>
      <c r="C983" s="769"/>
      <c r="D983" s="769"/>
      <c r="E983" s="769"/>
      <c r="F983" s="769"/>
      <c r="G983" s="769"/>
      <c r="H983" s="769"/>
    </row>
    <row r="984" spans="1:8" ht="15.6">
      <c r="A984" s="1516" t="s">
        <v>3</v>
      </c>
      <c r="B984" s="1516" t="s">
        <v>4</v>
      </c>
      <c r="C984" s="1516" t="s">
        <v>5</v>
      </c>
      <c r="D984" s="1516" t="s">
        <v>6</v>
      </c>
      <c r="E984" s="1516" t="s">
        <v>7</v>
      </c>
      <c r="F984" s="770" t="s">
        <v>8</v>
      </c>
      <c r="G984" s="770" t="s">
        <v>9</v>
      </c>
      <c r="H984" s="770" t="s">
        <v>10</v>
      </c>
    </row>
    <row r="985" spans="1:8" ht="15.6">
      <c r="A985" s="1517"/>
      <c r="B985" s="1517"/>
      <c r="C985" s="1517"/>
      <c r="D985" s="1517"/>
      <c r="E985" s="1517"/>
      <c r="F985" s="771" t="s">
        <v>11</v>
      </c>
      <c r="G985" s="771" t="s">
        <v>11</v>
      </c>
      <c r="H985" s="771" t="s">
        <v>11</v>
      </c>
    </row>
    <row r="986" spans="1:8" ht="15.6">
      <c r="A986" s="770" t="s">
        <v>12</v>
      </c>
      <c r="B986" s="772" t="s">
        <v>364</v>
      </c>
      <c r="C986" s="773"/>
      <c r="D986" s="774"/>
      <c r="E986" s="774"/>
      <c r="F986" s="774"/>
      <c r="G986" s="775"/>
      <c r="H986" s="776"/>
    </row>
    <row r="987" spans="1:8" ht="15.6">
      <c r="A987" s="786"/>
      <c r="B987" s="969" t="s">
        <v>1983</v>
      </c>
      <c r="C987" s="779">
        <v>1</v>
      </c>
      <c r="D987" s="780" t="s">
        <v>44</v>
      </c>
      <c r="E987" s="780" t="s">
        <v>197</v>
      </c>
      <c r="F987" s="791" t="s">
        <v>126</v>
      </c>
      <c r="G987" s="791" t="s">
        <v>126</v>
      </c>
      <c r="H987" s="971"/>
    </row>
    <row r="988" spans="1:8" ht="15.6">
      <c r="A988" s="786"/>
      <c r="B988" s="969" t="s">
        <v>1583</v>
      </c>
      <c r="C988" s="779">
        <v>0.5</v>
      </c>
      <c r="D988" s="780" t="s">
        <v>245</v>
      </c>
      <c r="E988" s="780" t="s">
        <v>197</v>
      </c>
      <c r="F988" s="791" t="s">
        <v>126</v>
      </c>
      <c r="G988" s="791" t="s">
        <v>126</v>
      </c>
      <c r="H988" s="971"/>
    </row>
    <row r="989" spans="1:8" ht="15.6">
      <c r="A989" s="786"/>
      <c r="B989" s="969"/>
      <c r="C989" s="779"/>
      <c r="D989" s="780"/>
      <c r="E989" s="780"/>
      <c r="F989" s="788"/>
      <c r="G989" s="788"/>
      <c r="H989" s="971"/>
    </row>
    <row r="990" spans="1:8" ht="15.6">
      <c r="A990" s="814"/>
      <c r="B990" s="806"/>
      <c r="C990" s="815"/>
      <c r="D990" s="816"/>
      <c r="E990" s="816"/>
      <c r="F990" s="817"/>
      <c r="G990" s="817"/>
      <c r="H990" s="818">
        <f>SUM(G986:G990)</f>
        <v>0</v>
      </c>
    </row>
    <row r="991" spans="1:8" ht="15.6">
      <c r="A991" s="786" t="s">
        <v>18</v>
      </c>
      <c r="B991" s="787" t="s">
        <v>19</v>
      </c>
      <c r="C991" s="782"/>
      <c r="D991" s="780"/>
      <c r="E991" s="780"/>
      <c r="F991" s="778"/>
      <c r="G991" s="788"/>
      <c r="H991" s="789"/>
    </row>
    <row r="992" spans="1:8" ht="15.6">
      <c r="A992" s="790"/>
      <c r="B992" s="969" t="s">
        <v>1936</v>
      </c>
      <c r="C992" s="779">
        <v>2</v>
      </c>
      <c r="D992" s="780" t="s">
        <v>1774</v>
      </c>
      <c r="E992" s="780" t="s">
        <v>16</v>
      </c>
      <c r="F992" s="788">
        <v>90000</v>
      </c>
      <c r="G992" s="788">
        <f>F992*C992</f>
        <v>180000</v>
      </c>
      <c r="H992" s="789"/>
    </row>
    <row r="993" spans="1:8" ht="15.6">
      <c r="A993" s="790"/>
      <c r="B993" s="969" t="s">
        <v>2002</v>
      </c>
      <c r="C993" s="779">
        <v>1</v>
      </c>
      <c r="D993" s="780" t="s">
        <v>403</v>
      </c>
      <c r="E993" s="780" t="s">
        <v>16</v>
      </c>
      <c r="F993" s="788">
        <v>135000</v>
      </c>
      <c r="G993" s="788">
        <f>F993*C993</f>
        <v>135000</v>
      </c>
      <c r="H993" s="789"/>
    </row>
    <row r="994" spans="1:8" ht="15.6">
      <c r="A994" s="790"/>
      <c r="B994" s="777"/>
      <c r="C994" s="788"/>
      <c r="D994" s="780"/>
      <c r="E994" s="780"/>
      <c r="F994" s="788"/>
      <c r="G994" s="788"/>
      <c r="H994" s="789"/>
    </row>
    <row r="995" spans="1:8" ht="15.6">
      <c r="A995" s="793"/>
      <c r="B995" s="783"/>
      <c r="C995" s="794"/>
      <c r="D995" s="795"/>
      <c r="E995" s="811"/>
      <c r="F995" s="811" t="s">
        <v>25</v>
      </c>
      <c r="G995" s="813">
        <f>SUM(G992:G994)</f>
        <v>315000</v>
      </c>
      <c r="H995" s="810"/>
    </row>
    <row r="996" spans="1:8" ht="15.6">
      <c r="A996" s="820"/>
      <c r="B996" s="821"/>
      <c r="C996" s="822"/>
      <c r="D996" s="822"/>
      <c r="E996" s="823"/>
      <c r="F996" s="819" t="s">
        <v>1151</v>
      </c>
      <c r="G996" s="964"/>
      <c r="H996" s="825"/>
    </row>
    <row r="997" spans="1:8" ht="15.6">
      <c r="A997" s="796"/>
      <c r="B997" s="797"/>
      <c r="C997" s="784"/>
      <c r="D997" s="784"/>
      <c r="E997" s="785"/>
      <c r="F997" s="812"/>
      <c r="G997" s="798"/>
      <c r="H997" s="826">
        <f>G995+G996</f>
        <v>315000</v>
      </c>
    </row>
    <row r="998" spans="1:8" ht="15.6">
      <c r="A998" s="820"/>
      <c r="B998" s="821"/>
      <c r="C998" s="822"/>
      <c r="D998" s="822"/>
      <c r="E998" s="823"/>
      <c r="F998" s="819"/>
      <c r="G998" s="824"/>
      <c r="H998" s="827"/>
    </row>
    <row r="999" spans="1:8" ht="15.6">
      <c r="A999" s="799"/>
      <c r="B999" s="800"/>
      <c r="C999" s="800"/>
      <c r="D999" s="800"/>
      <c r="E999" s="800"/>
      <c r="F999" s="801"/>
      <c r="G999" s="828" t="s">
        <v>28</v>
      </c>
      <c r="H999" s="775">
        <f>H997+H990</f>
        <v>315000</v>
      </c>
    </row>
    <row r="1000" spans="1:8" ht="15.6">
      <c r="A1000" s="802"/>
      <c r="B1000" s="803"/>
      <c r="C1000" s="804"/>
      <c r="D1000" s="804"/>
      <c r="E1000" s="804"/>
      <c r="F1000" s="805"/>
      <c r="G1000" s="829" t="s">
        <v>30</v>
      </c>
      <c r="H1000" s="807">
        <f>ROUND(H999,-3)</f>
        <v>315000</v>
      </c>
    </row>
    <row r="1001" spans="1:8" ht="15.6">
      <c r="A1001" s="49"/>
      <c r="B1001" s="49"/>
      <c r="C1001" s="49"/>
      <c r="D1001" s="49"/>
      <c r="E1001" s="49"/>
      <c r="F1001" s="49"/>
      <c r="G1001" s="49"/>
      <c r="H1001" s="50"/>
    </row>
    <row r="1002" spans="1:8" ht="18">
      <c r="A1002" s="768" t="s">
        <v>1150</v>
      </c>
      <c r="B1002" s="49"/>
      <c r="C1002" s="49"/>
      <c r="D1002" s="49"/>
      <c r="E1002" s="49"/>
      <c r="F1002" s="49"/>
      <c r="G1002" s="49"/>
      <c r="H1002" s="50"/>
    </row>
    <row r="1003" spans="1:8" ht="17.399999999999999">
      <c r="A1003" s="49"/>
      <c r="B1003" s="965" t="s">
        <v>2022</v>
      </c>
      <c r="C1003" s="49"/>
      <c r="D1003" s="49"/>
      <c r="E1003" s="49"/>
      <c r="F1003" s="49"/>
      <c r="G1003" s="49"/>
      <c r="H1003" s="50"/>
    </row>
    <row r="1004" spans="1:8" ht="15.6">
      <c r="A1004" s="49"/>
      <c r="B1004" s="49"/>
      <c r="C1004" s="49"/>
      <c r="D1004" s="49"/>
      <c r="E1004" s="49"/>
      <c r="F1004" s="49"/>
      <c r="G1004" s="49"/>
      <c r="H1004" s="50"/>
    </row>
    <row r="1005" spans="1:8" ht="18">
      <c r="A1005" s="51"/>
      <c r="B1005" s="51"/>
      <c r="C1005" s="51"/>
      <c r="D1005" s="51"/>
      <c r="E1005" s="51"/>
      <c r="F1005" s="51"/>
      <c r="G1005" s="1530" t="s">
        <v>2023</v>
      </c>
      <c r="H1005" s="1530"/>
    </row>
    <row r="1006" spans="1:8" ht="18">
      <c r="A1006" s="1530" t="s">
        <v>31</v>
      </c>
      <c r="B1006" s="1530"/>
      <c r="C1006" s="1530" t="s">
        <v>32</v>
      </c>
      <c r="D1006" s="1530"/>
      <c r="E1006" s="1530"/>
      <c r="F1006" s="958"/>
      <c r="G1006" s="1530" t="s">
        <v>33</v>
      </c>
      <c r="H1006" s="1530"/>
    </row>
    <row r="1007" spans="1:8" ht="18">
      <c r="A1007" s="958"/>
      <c r="B1007" s="958"/>
      <c r="C1007" s="958"/>
      <c r="D1007" s="958"/>
      <c r="E1007" s="958"/>
      <c r="F1007" s="958"/>
      <c r="G1007" s="958"/>
      <c r="H1007" s="958"/>
    </row>
    <row r="1008" spans="1:8" ht="18">
      <c r="A1008" s="958"/>
      <c r="B1008" s="958"/>
      <c r="C1008" s="958"/>
      <c r="D1008" s="958"/>
      <c r="E1008" s="958"/>
      <c r="F1008" s="958"/>
      <c r="G1008" s="958"/>
      <c r="H1008" s="958"/>
    </row>
    <row r="1009" spans="1:8" ht="18">
      <c r="A1009" s="958"/>
      <c r="B1009" s="958"/>
      <c r="C1009" s="958"/>
      <c r="D1009" s="958"/>
      <c r="E1009" s="958"/>
      <c r="F1009" s="958"/>
      <c r="G1009" s="958"/>
      <c r="H1009" s="958"/>
    </row>
    <row r="1010" spans="1:8" ht="18">
      <c r="A1010" s="1529" t="s">
        <v>1622</v>
      </c>
      <c r="B1010" s="1529"/>
      <c r="C1010" s="1529" t="s">
        <v>1603</v>
      </c>
      <c r="D1010" s="1529"/>
      <c r="E1010" s="1529"/>
      <c r="F1010" s="958"/>
      <c r="G1010" s="1529" t="s">
        <v>1661</v>
      </c>
      <c r="H1010" s="1529"/>
    </row>
    <row r="1011" spans="1:8" ht="18">
      <c r="A1011" s="1530" t="s">
        <v>37</v>
      </c>
      <c r="B1011" s="1530"/>
      <c r="C1011" s="1530" t="s">
        <v>1604</v>
      </c>
      <c r="D1011" s="1530"/>
      <c r="E1011" s="1530"/>
      <c r="F1011" s="958"/>
      <c r="G1011" s="1530" t="s">
        <v>39</v>
      </c>
      <c r="H1011" s="1530"/>
    </row>
    <row r="1017" spans="1:8" ht="28.8">
      <c r="A1017" s="597"/>
      <c r="B1017" s="597"/>
      <c r="C1017" s="1513" t="s">
        <v>235</v>
      </c>
      <c r="D1017" s="1513"/>
      <c r="E1017" s="1513"/>
      <c r="F1017" s="1513"/>
      <c r="G1017" s="1513"/>
      <c r="H1017" s="1513"/>
    </row>
    <row r="1018" spans="1:8" ht="28.8">
      <c r="A1018" s="597"/>
      <c r="B1018" s="597"/>
      <c r="C1018" s="1541" t="s">
        <v>363</v>
      </c>
      <c r="D1018" s="1541"/>
      <c r="E1018" s="1541"/>
      <c r="F1018" s="1541"/>
      <c r="G1018" s="1541"/>
      <c r="H1018" s="1541"/>
    </row>
    <row r="1019" spans="1:8" ht="23.4">
      <c r="A1019" s="830"/>
      <c r="B1019" s="830"/>
      <c r="C1019" s="1537" t="s">
        <v>1594</v>
      </c>
      <c r="D1019" s="1537"/>
      <c r="E1019" s="1537"/>
      <c r="F1019" s="1537"/>
      <c r="G1019" s="1537"/>
      <c r="H1019" s="1537"/>
    </row>
    <row r="1020" spans="1:8" ht="15.6">
      <c r="A1020" s="769"/>
      <c r="B1020" s="769"/>
      <c r="C1020" s="769"/>
      <c r="D1020" s="769"/>
      <c r="E1020" s="769"/>
      <c r="F1020" s="769"/>
      <c r="G1020" s="769"/>
      <c r="H1020" s="769"/>
    </row>
    <row r="1021" spans="1:8" ht="15.6">
      <c r="A1021" s="769"/>
      <c r="B1021" s="769"/>
      <c r="C1021" s="769"/>
      <c r="D1021" s="769"/>
      <c r="E1021" s="769"/>
      <c r="F1021" s="769"/>
      <c r="G1021" s="769"/>
      <c r="H1021" s="769"/>
    </row>
    <row r="1022" spans="1:8" ht="15.6">
      <c r="A1022" s="1516" t="s">
        <v>3</v>
      </c>
      <c r="B1022" s="1516" t="s">
        <v>4</v>
      </c>
      <c r="C1022" s="1516" t="s">
        <v>5</v>
      </c>
      <c r="D1022" s="1516" t="s">
        <v>6</v>
      </c>
      <c r="E1022" s="1516" t="s">
        <v>7</v>
      </c>
      <c r="F1022" s="770" t="s">
        <v>8</v>
      </c>
      <c r="G1022" s="770" t="s">
        <v>9</v>
      </c>
      <c r="H1022" s="770" t="s">
        <v>10</v>
      </c>
    </row>
    <row r="1023" spans="1:8" ht="15.6">
      <c r="A1023" s="1517"/>
      <c r="B1023" s="1517"/>
      <c r="C1023" s="1517"/>
      <c r="D1023" s="1517"/>
      <c r="E1023" s="1517"/>
      <c r="F1023" s="771" t="s">
        <v>11</v>
      </c>
      <c r="G1023" s="771" t="s">
        <v>11</v>
      </c>
      <c r="H1023" s="771" t="s">
        <v>11</v>
      </c>
    </row>
    <row r="1024" spans="1:8" ht="15.6">
      <c r="A1024" s="770" t="s">
        <v>12</v>
      </c>
      <c r="B1024" s="772" t="s">
        <v>364</v>
      </c>
      <c r="C1024" s="773"/>
      <c r="D1024" s="774"/>
      <c r="E1024" s="774"/>
      <c r="F1024" s="774"/>
      <c r="G1024" s="775"/>
      <c r="H1024" s="776"/>
    </row>
    <row r="1025" spans="1:12" ht="15.6">
      <c r="A1025" s="786"/>
      <c r="B1025" s="969" t="s">
        <v>1976</v>
      </c>
      <c r="C1025" s="779">
        <v>1</v>
      </c>
      <c r="D1025" s="780" t="s">
        <v>44</v>
      </c>
      <c r="E1025" s="780" t="s">
        <v>197</v>
      </c>
      <c r="F1025" s="791" t="s">
        <v>126</v>
      </c>
      <c r="G1025" s="791" t="s">
        <v>126</v>
      </c>
      <c r="H1025" s="971"/>
    </row>
    <row r="1026" spans="1:12" ht="15.6">
      <c r="A1026" s="786"/>
      <c r="B1026" s="969" t="s">
        <v>1583</v>
      </c>
      <c r="C1026" s="779">
        <v>0.5</v>
      </c>
      <c r="D1026" s="780" t="s">
        <v>245</v>
      </c>
      <c r="E1026" s="780" t="s">
        <v>197</v>
      </c>
      <c r="F1026" s="791" t="s">
        <v>126</v>
      </c>
      <c r="G1026" s="791" t="s">
        <v>126</v>
      </c>
      <c r="H1026" s="971"/>
    </row>
    <row r="1027" spans="1:12" ht="15.6">
      <c r="A1027" s="786"/>
      <c r="B1027" s="969"/>
      <c r="C1027" s="779"/>
      <c r="D1027" s="780"/>
      <c r="E1027" s="780"/>
      <c r="F1027" s="788"/>
      <c r="G1027" s="788"/>
      <c r="H1027" s="971"/>
    </row>
    <row r="1028" spans="1:12" ht="15.6">
      <c r="A1028" s="814"/>
      <c r="B1028" s="806"/>
      <c r="C1028" s="815"/>
      <c r="D1028" s="816"/>
      <c r="E1028" s="816"/>
      <c r="F1028" s="817"/>
      <c r="G1028" s="817"/>
      <c r="H1028" s="818">
        <f>SUM(G1024:G1028)</f>
        <v>0</v>
      </c>
    </row>
    <row r="1029" spans="1:12" ht="15.6">
      <c r="A1029" s="786" t="s">
        <v>18</v>
      </c>
      <c r="B1029" s="787" t="s">
        <v>19</v>
      </c>
      <c r="C1029" s="782"/>
      <c r="D1029" s="780"/>
      <c r="E1029" s="780"/>
      <c r="F1029" s="778"/>
      <c r="G1029" s="788"/>
      <c r="H1029" s="789"/>
    </row>
    <row r="1030" spans="1:12" ht="15.6">
      <c r="A1030" s="790"/>
      <c r="B1030" s="969" t="s">
        <v>2002</v>
      </c>
      <c r="C1030" s="779">
        <v>1</v>
      </c>
      <c r="D1030" s="780" t="s">
        <v>2003</v>
      </c>
      <c r="E1030" s="780" t="s">
        <v>1937</v>
      </c>
      <c r="F1030" s="788">
        <v>135000</v>
      </c>
      <c r="G1030" s="788">
        <f>F1030*1.5</f>
        <v>202500</v>
      </c>
      <c r="H1030" s="789"/>
    </row>
    <row r="1031" spans="1:12" ht="15.6">
      <c r="A1031" s="790"/>
      <c r="B1031" s="969" t="s">
        <v>2004</v>
      </c>
      <c r="C1031" s="779">
        <v>2</v>
      </c>
      <c r="D1031" s="780" t="s">
        <v>2003</v>
      </c>
      <c r="E1031" s="780" t="s">
        <v>1937</v>
      </c>
      <c r="F1031" s="788">
        <v>90000</v>
      </c>
      <c r="G1031" s="788">
        <f>F1031*C1031*1.5</f>
        <v>270000</v>
      </c>
      <c r="H1031" s="789"/>
    </row>
    <row r="1032" spans="1:12" ht="15.6">
      <c r="A1032" s="790"/>
      <c r="B1032" s="777"/>
      <c r="C1032" s="788"/>
      <c r="D1032" s="780"/>
      <c r="E1032" s="780"/>
      <c r="F1032" s="788"/>
      <c r="G1032" s="788"/>
      <c r="H1032" s="789"/>
    </row>
    <row r="1033" spans="1:12" ht="15.6">
      <c r="A1033" s="793"/>
      <c r="B1033" s="783"/>
      <c r="C1033" s="794"/>
      <c r="D1033" s="795"/>
      <c r="E1033" s="811"/>
      <c r="F1033" s="811" t="s">
        <v>25</v>
      </c>
      <c r="G1033" s="813">
        <f>SUM(G1030:G1032)</f>
        <v>472500</v>
      </c>
      <c r="H1033" s="810"/>
    </row>
    <row r="1034" spans="1:12" ht="15.6">
      <c r="A1034" s="820"/>
      <c r="B1034" s="821"/>
      <c r="C1034" s="822"/>
      <c r="D1034" s="822"/>
      <c r="E1034" s="823"/>
      <c r="F1034" s="819" t="s">
        <v>1151</v>
      </c>
      <c r="G1034" s="964"/>
      <c r="H1034" s="825"/>
    </row>
    <row r="1035" spans="1:12" ht="15.6">
      <c r="A1035" s="796"/>
      <c r="B1035" s="797"/>
      <c r="C1035" s="784"/>
      <c r="D1035" s="784"/>
      <c r="E1035" s="785"/>
      <c r="F1035" s="812"/>
      <c r="G1035" s="798"/>
      <c r="H1035" s="826">
        <f>G1033+G1034</f>
        <v>472500</v>
      </c>
    </row>
    <row r="1036" spans="1:12" ht="15.6">
      <c r="A1036" s="820"/>
      <c r="B1036" s="821"/>
      <c r="C1036" s="822"/>
      <c r="D1036" s="822"/>
      <c r="E1036" s="823"/>
      <c r="F1036" s="819"/>
      <c r="G1036" s="824"/>
      <c r="H1036" s="827"/>
    </row>
    <row r="1037" spans="1:12" ht="15.6">
      <c r="A1037" s="799"/>
      <c r="B1037" s="800"/>
      <c r="C1037" s="800"/>
      <c r="D1037" s="800"/>
      <c r="E1037" s="800"/>
      <c r="F1037" s="801"/>
      <c r="G1037" s="828" t="s">
        <v>28</v>
      </c>
      <c r="H1037" s="775">
        <f>H1035+H1028</f>
        <v>472500</v>
      </c>
    </row>
    <row r="1038" spans="1:12" ht="15.6">
      <c r="A1038" s="802"/>
      <c r="B1038" s="803"/>
      <c r="C1038" s="804"/>
      <c r="D1038" s="804"/>
      <c r="E1038" s="804"/>
      <c r="F1038" s="805"/>
      <c r="G1038" s="829" t="s">
        <v>30</v>
      </c>
      <c r="H1038" s="807">
        <f>ROUND(H1037,-3)</f>
        <v>473000</v>
      </c>
    </row>
    <row r="1039" spans="1:12" ht="15.6">
      <c r="A1039" s="49"/>
      <c r="B1039" s="49"/>
      <c r="C1039" s="49"/>
      <c r="D1039" s="49"/>
      <c r="E1039" s="49"/>
      <c r="F1039" s="49"/>
      <c r="G1039" s="49"/>
      <c r="H1039" s="50"/>
    </row>
    <row r="1040" spans="1:12" ht="21">
      <c r="A1040" s="768" t="s">
        <v>1150</v>
      </c>
      <c r="B1040" s="49"/>
      <c r="C1040" s="49"/>
      <c r="D1040" s="49"/>
      <c r="E1040" s="49"/>
      <c r="F1040" s="49"/>
      <c r="G1040" s="49"/>
      <c r="H1040" s="50"/>
      <c r="L1040" s="1141">
        <f>3.14*0.25*1.5</f>
        <v>1.1775</v>
      </c>
    </row>
    <row r="1041" spans="1:8" ht="17.399999999999999">
      <c r="A1041" s="49"/>
      <c r="B1041" s="965" t="s">
        <v>2005</v>
      </c>
      <c r="C1041" s="49"/>
      <c r="D1041" s="49"/>
      <c r="E1041" s="49"/>
      <c r="F1041" s="49"/>
      <c r="G1041" s="49"/>
      <c r="H1041" s="50"/>
    </row>
    <row r="1042" spans="1:8" ht="15.6">
      <c r="A1042" s="49"/>
      <c r="B1042" s="49"/>
      <c r="C1042" s="49"/>
      <c r="D1042" s="49"/>
      <c r="E1042" s="49"/>
      <c r="F1042" s="49"/>
      <c r="G1042" s="49"/>
      <c r="H1042" s="50"/>
    </row>
    <row r="1043" spans="1:8" ht="18">
      <c r="A1043" s="51"/>
      <c r="B1043" s="51"/>
      <c r="C1043" s="51"/>
      <c r="D1043" s="51"/>
      <c r="E1043" s="51"/>
      <c r="F1043" s="51"/>
      <c r="G1043" s="1530" t="s">
        <v>2006</v>
      </c>
      <c r="H1043" s="1530"/>
    </row>
    <row r="1044" spans="1:8" ht="18">
      <c r="A1044" s="1530" t="s">
        <v>31</v>
      </c>
      <c r="B1044" s="1530"/>
      <c r="C1044" s="1530" t="s">
        <v>32</v>
      </c>
      <c r="D1044" s="1530"/>
      <c r="E1044" s="1530"/>
      <c r="F1044" s="958"/>
      <c r="G1044" s="1530" t="s">
        <v>33</v>
      </c>
      <c r="H1044" s="1530"/>
    </row>
    <row r="1045" spans="1:8" ht="18">
      <c r="A1045" s="958"/>
      <c r="B1045" s="958"/>
      <c r="C1045" s="958"/>
      <c r="D1045" s="958"/>
      <c r="E1045" s="958"/>
      <c r="F1045" s="958"/>
      <c r="G1045" s="958"/>
      <c r="H1045" s="958"/>
    </row>
    <row r="1046" spans="1:8" ht="18">
      <c r="A1046" s="958"/>
      <c r="B1046" s="958"/>
      <c r="C1046" s="958"/>
      <c r="D1046" s="958"/>
      <c r="E1046" s="958"/>
      <c r="F1046" s="958"/>
      <c r="G1046" s="958"/>
      <c r="H1046" s="958"/>
    </row>
    <row r="1047" spans="1:8" ht="18">
      <c r="A1047" s="958"/>
      <c r="B1047" s="958"/>
      <c r="C1047" s="958"/>
      <c r="D1047" s="958"/>
      <c r="E1047" s="958"/>
      <c r="F1047" s="958"/>
      <c r="G1047" s="958"/>
      <c r="H1047" s="958"/>
    </row>
    <row r="1048" spans="1:8" ht="18">
      <c r="A1048" s="1529" t="s">
        <v>1622</v>
      </c>
      <c r="B1048" s="1529"/>
      <c r="C1048" s="1529" t="s">
        <v>1603</v>
      </c>
      <c r="D1048" s="1529"/>
      <c r="E1048" s="1529"/>
      <c r="F1048" s="958"/>
      <c r="G1048" s="1529" t="s">
        <v>1661</v>
      </c>
      <c r="H1048" s="1529"/>
    </row>
    <row r="1049" spans="1:8" ht="18">
      <c r="A1049" s="1530" t="s">
        <v>37</v>
      </c>
      <c r="B1049" s="1530"/>
      <c r="C1049" s="1530" t="s">
        <v>1604</v>
      </c>
      <c r="D1049" s="1530"/>
      <c r="E1049" s="1530"/>
      <c r="F1049" s="958"/>
      <c r="G1049" s="1530" t="s">
        <v>39</v>
      </c>
      <c r="H1049" s="1530"/>
    </row>
    <row r="1057" spans="1:8" ht="28.8">
      <c r="A1057" s="597"/>
      <c r="B1057" s="597"/>
      <c r="C1057" s="1513" t="s">
        <v>1968</v>
      </c>
      <c r="D1057" s="1513"/>
      <c r="E1057" s="1513"/>
      <c r="F1057" s="1513"/>
      <c r="G1057" s="1513"/>
      <c r="H1057" s="1513"/>
    </row>
    <row r="1058" spans="1:8" ht="25.8">
      <c r="A1058" s="598"/>
      <c r="B1058" s="598"/>
      <c r="C1058" s="1537" t="s">
        <v>1969</v>
      </c>
      <c r="D1058" s="1537"/>
      <c r="E1058" s="1537"/>
      <c r="F1058" s="1537"/>
      <c r="G1058" s="1537"/>
      <c r="H1058" s="1537"/>
    </row>
    <row r="1059" spans="1:8" ht="21">
      <c r="A1059" s="599"/>
      <c r="B1059" s="599"/>
      <c r="C1059" s="1535" t="s">
        <v>1970</v>
      </c>
      <c r="D1059" s="1536"/>
      <c r="E1059" s="1536"/>
      <c r="F1059" s="1536"/>
      <c r="G1059" s="1536"/>
      <c r="H1059" s="1536"/>
    </row>
    <row r="1060" spans="1:8">
      <c r="A1060" s="7"/>
      <c r="B1060" s="7"/>
      <c r="C1060" s="7"/>
      <c r="D1060" s="7"/>
      <c r="E1060" s="7"/>
      <c r="F1060" s="7"/>
      <c r="G1060" s="7"/>
      <c r="H1060" s="7"/>
    </row>
    <row r="1061" spans="1:8" ht="12.6" thickBot="1">
      <c r="A1061" s="7"/>
      <c r="B1061" s="7"/>
      <c r="C1061" s="7"/>
      <c r="D1061" s="7"/>
      <c r="E1061" s="7"/>
      <c r="F1061" s="7"/>
      <c r="G1061" s="7"/>
      <c r="H1061" s="7"/>
    </row>
    <row r="1062" spans="1:8" ht="15.6">
      <c r="A1062" s="1538" t="s">
        <v>3</v>
      </c>
      <c r="B1062" s="1540" t="s">
        <v>4</v>
      </c>
      <c r="C1062" s="1540" t="s">
        <v>5</v>
      </c>
      <c r="D1062" s="1540" t="s">
        <v>6</v>
      </c>
      <c r="E1062" s="1540" t="s">
        <v>7</v>
      </c>
      <c r="F1062" s="8" t="s">
        <v>8</v>
      </c>
      <c r="G1062" s="8" t="s">
        <v>9</v>
      </c>
      <c r="H1062" s="9" t="s">
        <v>10</v>
      </c>
    </row>
    <row r="1063" spans="1:8" ht="15.6">
      <c r="A1063" s="1539"/>
      <c r="B1063" s="1517"/>
      <c r="C1063" s="1517"/>
      <c r="D1063" s="1517"/>
      <c r="E1063" s="1517"/>
      <c r="F1063" s="10" t="s">
        <v>11</v>
      </c>
      <c r="G1063" s="10" t="s">
        <v>11</v>
      </c>
      <c r="H1063" s="11" t="s">
        <v>11</v>
      </c>
    </row>
    <row r="1064" spans="1:8" ht="15.6">
      <c r="A1064" s="12" t="s">
        <v>12</v>
      </c>
      <c r="B1064" s="13" t="s">
        <v>13</v>
      </c>
      <c r="C1064" s="14"/>
      <c r="D1064" s="15"/>
      <c r="E1064" s="15"/>
      <c r="F1064" s="16"/>
      <c r="G1064" s="17"/>
      <c r="H1064" s="18"/>
    </row>
    <row r="1065" spans="1:8" ht="15.6">
      <c r="A1065" s="12"/>
      <c r="B1065" s="763" t="s">
        <v>1971</v>
      </c>
      <c r="C1065" s="1143">
        <v>2</v>
      </c>
      <c r="D1065" s="764" t="s">
        <v>893</v>
      </c>
      <c r="E1065" s="780" t="s">
        <v>51</v>
      </c>
      <c r="F1065" s="593">
        <v>25000</v>
      </c>
      <c r="G1065" s="20">
        <f>F1065*C1065</f>
        <v>50000</v>
      </c>
      <c r="H1065" s="21"/>
    </row>
    <row r="1066" spans="1:8" ht="15.6">
      <c r="A1066" s="12"/>
      <c r="B1066" s="763" t="s">
        <v>1972</v>
      </c>
      <c r="C1066" s="1143">
        <v>2</v>
      </c>
      <c r="D1066" s="764" t="s">
        <v>893</v>
      </c>
      <c r="E1066" s="780" t="s">
        <v>51</v>
      </c>
      <c r="F1066" s="593">
        <v>10000</v>
      </c>
      <c r="G1066" s="20">
        <f t="shared" ref="G1066:G1071" si="3">F1066*C1066</f>
        <v>20000</v>
      </c>
      <c r="H1066" s="21"/>
    </row>
    <row r="1067" spans="1:8" ht="15.6">
      <c r="A1067" s="12"/>
      <c r="B1067" s="763" t="s">
        <v>1973</v>
      </c>
      <c r="C1067" s="1143">
        <v>2</v>
      </c>
      <c r="D1067" s="764" t="s">
        <v>893</v>
      </c>
      <c r="E1067" s="780" t="s">
        <v>51</v>
      </c>
      <c r="F1067" s="593">
        <v>5000</v>
      </c>
      <c r="G1067" s="20">
        <f t="shared" si="3"/>
        <v>10000</v>
      </c>
      <c r="H1067" s="21"/>
    </row>
    <row r="1068" spans="1:8" ht="15.6">
      <c r="A1068" s="12"/>
      <c r="B1068" s="763" t="s">
        <v>1974</v>
      </c>
      <c r="C1068" s="1143">
        <v>10</v>
      </c>
      <c r="D1068" s="764" t="s">
        <v>893</v>
      </c>
      <c r="E1068" s="780" t="s">
        <v>51</v>
      </c>
      <c r="F1068" s="593">
        <v>5000</v>
      </c>
      <c r="G1068" s="20">
        <f t="shared" si="3"/>
        <v>50000</v>
      </c>
      <c r="H1068" s="21"/>
    </row>
    <row r="1069" spans="1:8" ht="15.6">
      <c r="A1069" s="12"/>
      <c r="B1069" s="763" t="s">
        <v>1975</v>
      </c>
      <c r="C1069" s="1143">
        <v>2</v>
      </c>
      <c r="D1069" s="764" t="s">
        <v>893</v>
      </c>
      <c r="E1069" s="780" t="s">
        <v>51</v>
      </c>
      <c r="F1069" s="593">
        <v>25000</v>
      </c>
      <c r="G1069" s="20">
        <f>F1069*C1069</f>
        <v>50000</v>
      </c>
      <c r="H1069" s="21"/>
    </row>
    <row r="1070" spans="1:8" ht="15.6">
      <c r="A1070" s="12"/>
      <c r="B1070" s="763" t="s">
        <v>2019</v>
      </c>
      <c r="C1070" s="1143">
        <v>5</v>
      </c>
      <c r="D1070" s="764" t="s">
        <v>403</v>
      </c>
      <c r="E1070" s="780" t="s">
        <v>51</v>
      </c>
      <c r="F1070" s="593">
        <v>16500</v>
      </c>
      <c r="G1070" s="20">
        <f>F1070*C1070</f>
        <v>82500</v>
      </c>
      <c r="H1070" s="21"/>
    </row>
    <row r="1071" spans="1:8" ht="15.6">
      <c r="A1071" s="12"/>
      <c r="B1071" s="763" t="s">
        <v>2016</v>
      </c>
      <c r="C1071" s="1143">
        <v>3</v>
      </c>
      <c r="D1071" s="764" t="s">
        <v>2017</v>
      </c>
      <c r="E1071" s="764" t="s">
        <v>51</v>
      </c>
      <c r="F1071" s="593">
        <v>150000</v>
      </c>
      <c r="G1071" s="20">
        <f t="shared" si="3"/>
        <v>450000</v>
      </c>
      <c r="H1071" s="21"/>
    </row>
    <row r="1072" spans="1:8" ht="15.6">
      <c r="A1072" s="611"/>
      <c r="B1072" s="612"/>
      <c r="C1072" s="1144"/>
      <c r="D1072" s="614"/>
      <c r="E1072" s="615"/>
      <c r="F1072" s="631"/>
      <c r="G1072" s="632"/>
      <c r="H1072" s="618">
        <f>SUM(G1065:G1071)</f>
        <v>712500</v>
      </c>
    </row>
    <row r="1073" spans="1:8" ht="15.6">
      <c r="A1073" s="12" t="s">
        <v>18</v>
      </c>
      <c r="B1073" s="13" t="s">
        <v>19</v>
      </c>
      <c r="C1073" s="1145"/>
      <c r="D1073" s="15"/>
      <c r="E1073" s="15"/>
      <c r="F1073" s="19"/>
      <c r="G1073" s="20"/>
      <c r="H1073" s="18"/>
    </row>
    <row r="1074" spans="1:8" ht="15.6">
      <c r="A1074" s="12"/>
      <c r="B1074" s="969" t="s">
        <v>2018</v>
      </c>
      <c r="C1074" s="779">
        <v>2</v>
      </c>
      <c r="D1074" s="780" t="s">
        <v>2017</v>
      </c>
      <c r="E1074" s="780" t="s">
        <v>1937</v>
      </c>
      <c r="F1074" s="788">
        <f>90000*3</f>
        <v>270000</v>
      </c>
      <c r="G1074" s="20">
        <f>F1074*C1074</f>
        <v>540000</v>
      </c>
      <c r="H1074" s="18"/>
    </row>
    <row r="1075" spans="1:8" ht="15.6">
      <c r="A1075" s="12"/>
      <c r="B1075" s="1142"/>
      <c r="C1075" s="1143"/>
      <c r="D1075" s="764"/>
      <c r="E1075" s="764"/>
      <c r="F1075" s="1146"/>
      <c r="G1075" s="1146"/>
      <c r="H1075" s="18"/>
    </row>
    <row r="1076" spans="1:8" ht="15.6">
      <c r="A1076" s="603"/>
      <c r="B1076" s="612"/>
      <c r="C1076" s="613"/>
      <c r="D1076" s="615"/>
      <c r="E1076" s="615"/>
      <c r="F1076" s="631"/>
      <c r="G1076" s="632"/>
      <c r="H1076" s="18"/>
    </row>
    <row r="1077" spans="1:8" ht="15.6">
      <c r="A1077" s="619"/>
      <c r="B1077" s="34"/>
      <c r="C1077" s="621"/>
      <c r="D1077" s="36"/>
      <c r="E1077" s="36"/>
      <c r="F1077" s="37" t="s">
        <v>25</v>
      </c>
      <c r="G1077" s="20">
        <f>SUM(G1074:G1076)</f>
        <v>540000</v>
      </c>
      <c r="H1077" s="18"/>
    </row>
    <row r="1078" spans="1:8" ht="15.6">
      <c r="A1078" s="619"/>
      <c r="B1078" s="34"/>
      <c r="C1078" s="621"/>
      <c r="D1078" s="36"/>
      <c r="E1078" s="36"/>
      <c r="F1078" s="630" t="s">
        <v>26</v>
      </c>
      <c r="G1078" s="20"/>
      <c r="H1078" s="18"/>
    </row>
    <row r="1079" spans="1:8" ht="15.6">
      <c r="A1079" s="625"/>
      <c r="B1079" s="626"/>
      <c r="C1079" s="627"/>
      <c r="D1079" s="628"/>
      <c r="E1079" s="628"/>
      <c r="F1079" s="629"/>
      <c r="G1079" s="612"/>
      <c r="H1079" s="618">
        <f>SUM(G1077:G1078)</f>
        <v>540000</v>
      </c>
    </row>
    <row r="1080" spans="1:8" ht="16.2" thickBot="1">
      <c r="A1080" s="619"/>
      <c r="B1080" s="620"/>
      <c r="C1080" s="621"/>
      <c r="D1080" s="36"/>
      <c r="E1080" s="36"/>
      <c r="F1080" s="622"/>
      <c r="G1080" s="623"/>
      <c r="H1080" s="26"/>
    </row>
    <row r="1081" spans="1:8" ht="15.6">
      <c r="A1081" s="27"/>
      <c r="B1081" s="28"/>
      <c r="C1081" s="29"/>
      <c r="D1081" s="30"/>
      <c r="E1081" s="30"/>
      <c r="F1081" s="30"/>
      <c r="G1081" s="43" t="s">
        <v>28</v>
      </c>
      <c r="H1081" s="32">
        <f>SUM(H1065:H1079)</f>
        <v>1252500</v>
      </c>
    </row>
    <row r="1082" spans="1:8" ht="16.2" thickBot="1">
      <c r="A1082" s="609"/>
      <c r="B1082" s="606"/>
      <c r="C1082" s="610"/>
      <c r="D1082" s="610"/>
      <c r="E1082" s="607"/>
      <c r="F1082" s="608"/>
      <c r="G1082" s="47" t="s">
        <v>30</v>
      </c>
      <c r="H1082" s="48">
        <f>ROUND(H1081,-3)</f>
        <v>1253000</v>
      </c>
    </row>
    <row r="1083" spans="1:8" ht="15.6">
      <c r="A1083" s="49"/>
      <c r="B1083" s="49"/>
      <c r="C1083" s="49"/>
      <c r="D1083" s="49"/>
      <c r="E1083" s="49"/>
      <c r="F1083" s="49"/>
      <c r="G1083" s="49"/>
      <c r="H1083" s="50"/>
    </row>
    <row r="1084" spans="1:8" ht="18">
      <c r="A1084" s="633" t="s">
        <v>549</v>
      </c>
      <c r="B1084" s="49"/>
      <c r="C1084" s="49"/>
      <c r="D1084" s="49"/>
      <c r="E1084" s="49"/>
      <c r="F1084" s="49"/>
      <c r="G1084" s="49"/>
      <c r="H1084" s="50"/>
    </row>
    <row r="1085" spans="1:8" ht="18">
      <c r="A1085" s="51"/>
      <c r="B1085" s="957" t="s">
        <v>2024</v>
      </c>
      <c r="C1085" s="51"/>
      <c r="D1085" s="51"/>
      <c r="E1085" s="51"/>
      <c r="F1085" s="51"/>
      <c r="G1085" s="604"/>
      <c r="H1085" s="602"/>
    </row>
    <row r="1086" spans="1:8" ht="18">
      <c r="A1086" s="51"/>
      <c r="B1086" s="51"/>
      <c r="C1086" s="51"/>
      <c r="D1086" s="51"/>
      <c r="E1086" s="51"/>
      <c r="F1086" s="51"/>
      <c r="G1086" s="1530" t="s">
        <v>2010</v>
      </c>
      <c r="H1086" s="1530"/>
    </row>
    <row r="1087" spans="1:8" ht="18">
      <c r="A1087" s="1530" t="s">
        <v>31</v>
      </c>
      <c r="B1087" s="1530"/>
      <c r="C1087" s="1530" t="s">
        <v>914</v>
      </c>
      <c r="D1087" s="1530"/>
      <c r="E1087" s="1530"/>
      <c r="F1087" s="958"/>
      <c r="G1087" s="1530" t="s">
        <v>33</v>
      </c>
      <c r="H1087" s="1530"/>
    </row>
    <row r="1088" spans="1:8" ht="18">
      <c r="A1088" s="958"/>
      <c r="B1088" s="958"/>
      <c r="C1088" s="958"/>
      <c r="D1088" s="958"/>
      <c r="E1088" s="958"/>
      <c r="F1088" s="958"/>
      <c r="G1088" s="958"/>
      <c r="H1088" s="958"/>
    </row>
    <row r="1089" spans="1:10" ht="18">
      <c r="A1089" s="958"/>
      <c r="B1089" s="958"/>
      <c r="C1089" s="958"/>
      <c r="D1089" s="958"/>
      <c r="E1089" s="958"/>
      <c r="F1089" s="958"/>
      <c r="G1089" s="958"/>
      <c r="H1089" s="958"/>
    </row>
    <row r="1090" spans="1:10" ht="18">
      <c r="A1090" s="958"/>
      <c r="B1090" s="958"/>
      <c r="C1090" s="958"/>
      <c r="D1090" s="958"/>
      <c r="E1090" s="958"/>
      <c r="F1090" s="958"/>
      <c r="G1090" s="958"/>
      <c r="H1090" s="958"/>
      <c r="J1090" s="1">
        <f>G1164/10</f>
        <v>205594.91250000001</v>
      </c>
    </row>
    <row r="1091" spans="1:10" ht="18">
      <c r="A1091" s="1529" t="s">
        <v>1622</v>
      </c>
      <c r="B1091" s="1529"/>
      <c r="C1091" s="1529" t="s">
        <v>1603</v>
      </c>
      <c r="D1091" s="1529"/>
      <c r="E1091" s="1529"/>
      <c r="F1091" s="958"/>
      <c r="G1091" s="1529" t="s">
        <v>1661</v>
      </c>
      <c r="H1091" s="1529"/>
    </row>
    <row r="1092" spans="1:10" ht="18">
      <c r="A1092" s="1530" t="s">
        <v>37</v>
      </c>
      <c r="B1092" s="1530"/>
      <c r="C1092" s="1530" t="s">
        <v>1867</v>
      </c>
      <c r="D1092" s="1530"/>
      <c r="E1092" s="1530"/>
      <c r="F1092" s="958"/>
      <c r="G1092" s="1530" t="s">
        <v>39</v>
      </c>
      <c r="H1092" s="1530"/>
    </row>
    <row r="1095" spans="1:10" ht="28.8">
      <c r="A1095" s="597"/>
      <c r="B1095" s="597"/>
      <c r="C1095" s="1513" t="s">
        <v>1968</v>
      </c>
      <c r="D1095" s="1513"/>
      <c r="E1095" s="1513"/>
      <c r="F1095" s="1513"/>
      <c r="G1095" s="1513"/>
      <c r="H1095" s="1513"/>
    </row>
    <row r="1096" spans="1:10" ht="25.8">
      <c r="A1096" s="598"/>
      <c r="B1096" s="598"/>
      <c r="C1096" s="1537" t="s">
        <v>1965</v>
      </c>
      <c r="D1096" s="1537"/>
      <c r="E1096" s="1537"/>
      <c r="F1096" s="1537"/>
      <c r="G1096" s="1537"/>
      <c r="H1096" s="1537"/>
    </row>
    <row r="1097" spans="1:10" ht="21">
      <c r="A1097" s="599"/>
      <c r="B1097" s="599"/>
      <c r="C1097" s="1535" t="s">
        <v>889</v>
      </c>
      <c r="D1097" s="1536"/>
      <c r="E1097" s="1536"/>
      <c r="F1097" s="1536"/>
      <c r="G1097" s="1536"/>
      <c r="H1097" s="1536"/>
    </row>
    <row r="1098" spans="1:10">
      <c r="A1098" s="7"/>
      <c r="B1098" s="7"/>
      <c r="C1098" s="7"/>
      <c r="D1098" s="7"/>
      <c r="E1098" s="7"/>
      <c r="F1098" s="7"/>
      <c r="G1098" s="7"/>
      <c r="H1098" s="7"/>
    </row>
    <row r="1099" spans="1:10" ht="12.6" thickBot="1">
      <c r="A1099" s="7"/>
      <c r="B1099" s="7"/>
      <c r="C1099" s="7"/>
      <c r="D1099" s="7"/>
      <c r="E1099" s="7"/>
      <c r="F1099" s="7"/>
      <c r="G1099" s="7"/>
      <c r="H1099" s="7"/>
    </row>
    <row r="1100" spans="1:10" ht="15.6">
      <c r="A1100" s="1538" t="s">
        <v>3</v>
      </c>
      <c r="B1100" s="1540" t="s">
        <v>4</v>
      </c>
      <c r="C1100" s="1540" t="s">
        <v>5</v>
      </c>
      <c r="D1100" s="1540" t="s">
        <v>6</v>
      </c>
      <c r="E1100" s="1540" t="s">
        <v>7</v>
      </c>
      <c r="F1100" s="8" t="s">
        <v>8</v>
      </c>
      <c r="G1100" s="8" t="s">
        <v>9</v>
      </c>
      <c r="H1100" s="9" t="s">
        <v>10</v>
      </c>
    </row>
    <row r="1101" spans="1:10" ht="15.6">
      <c r="A1101" s="1539"/>
      <c r="B1101" s="1517"/>
      <c r="C1101" s="1517"/>
      <c r="D1101" s="1517"/>
      <c r="E1101" s="1517"/>
      <c r="F1101" s="10" t="s">
        <v>11</v>
      </c>
      <c r="G1101" s="10" t="s">
        <v>11</v>
      </c>
      <c r="H1101" s="11" t="s">
        <v>11</v>
      </c>
    </row>
    <row r="1102" spans="1:10" ht="15.6">
      <c r="A1102" s="12" t="s">
        <v>12</v>
      </c>
      <c r="B1102" s="13" t="s">
        <v>13</v>
      </c>
      <c r="C1102" s="14"/>
      <c r="D1102" s="15"/>
      <c r="E1102" s="15"/>
      <c r="F1102" s="16"/>
      <c r="G1102" s="17"/>
      <c r="H1102" s="18"/>
    </row>
    <row r="1103" spans="1:10" ht="15.6">
      <c r="A1103" s="12"/>
      <c r="B1103" s="763" t="s">
        <v>1079</v>
      </c>
      <c r="C1103" s="1143">
        <v>1</v>
      </c>
      <c r="D1103" s="764" t="s">
        <v>893</v>
      </c>
      <c r="E1103" s="15" t="s">
        <v>421</v>
      </c>
      <c r="F1103" s="593">
        <v>215000</v>
      </c>
      <c r="G1103" s="20">
        <f>F1103*C1103</f>
        <v>215000</v>
      </c>
      <c r="H1103" s="21"/>
    </row>
    <row r="1104" spans="1:10" ht="15.6">
      <c r="A1104" s="611"/>
      <c r="B1104" s="612"/>
      <c r="C1104" s="1144"/>
      <c r="D1104" s="614"/>
      <c r="E1104" s="615"/>
      <c r="F1104" s="631"/>
      <c r="G1104" s="632"/>
      <c r="H1104" s="618">
        <f>SUM(G1103:G1103)</f>
        <v>215000</v>
      </c>
    </row>
    <row r="1105" spans="1:8" ht="15.6">
      <c r="A1105" s="12" t="s">
        <v>18</v>
      </c>
      <c r="B1105" s="13" t="s">
        <v>19</v>
      </c>
      <c r="C1105" s="1145"/>
      <c r="D1105" s="15"/>
      <c r="E1105" s="15"/>
      <c r="F1105" s="19"/>
      <c r="G1105" s="20"/>
      <c r="H1105" s="18"/>
    </row>
    <row r="1106" spans="1:8" ht="15.6">
      <c r="A1106" s="12"/>
      <c r="B1106" s="1142" t="s">
        <v>1966</v>
      </c>
      <c r="C1106" s="1143">
        <v>1</v>
      </c>
      <c r="D1106" s="764" t="s">
        <v>893</v>
      </c>
      <c r="E1106" s="764" t="s">
        <v>421</v>
      </c>
      <c r="F1106" s="1146">
        <f>2455000/2</f>
        <v>1227500</v>
      </c>
      <c r="G1106" s="1146">
        <f>C1106*F1106</f>
        <v>1227500</v>
      </c>
      <c r="H1106" s="18"/>
    </row>
    <row r="1107" spans="1:8" ht="15.6">
      <c r="A1107" s="12"/>
      <c r="B1107" s="1142" t="s">
        <v>1081</v>
      </c>
      <c r="C1107" s="1143"/>
      <c r="D1107" s="764"/>
      <c r="E1107" s="764"/>
      <c r="F1107" s="1146"/>
      <c r="G1107" s="1146"/>
      <c r="H1107" s="18"/>
    </row>
    <row r="1108" spans="1:8" ht="15.6">
      <c r="A1108" s="12"/>
      <c r="B1108" s="1142" t="s">
        <v>1082</v>
      </c>
      <c r="C1108" s="1143"/>
      <c r="D1108" s="764"/>
      <c r="E1108" s="764"/>
      <c r="F1108" s="1146"/>
      <c r="G1108" s="1146"/>
      <c r="H1108" s="18"/>
    </row>
    <row r="1109" spans="1:8" ht="15.6">
      <c r="A1109" s="12"/>
      <c r="B1109" s="767"/>
      <c r="C1109" s="1143"/>
      <c r="D1109" s="764"/>
      <c r="E1109" s="764"/>
      <c r="F1109" s="1146"/>
      <c r="G1109" s="1146"/>
      <c r="H1109" s="18"/>
    </row>
    <row r="1110" spans="1:8" ht="15.6">
      <c r="A1110" s="12"/>
      <c r="B1110" s="1142" t="s">
        <v>1967</v>
      </c>
      <c r="C1110" s="1143">
        <v>1</v>
      </c>
      <c r="D1110" s="764" t="s">
        <v>893</v>
      </c>
      <c r="E1110" s="764" t="s">
        <v>421</v>
      </c>
      <c r="F1110" s="1146">
        <v>1000000</v>
      </c>
      <c r="G1110" s="1146">
        <f>C1110*F1110</f>
        <v>1000000</v>
      </c>
      <c r="H1110" s="18"/>
    </row>
    <row r="1111" spans="1:8" ht="15.6">
      <c r="A1111" s="12"/>
      <c r="B1111" s="1142" t="s">
        <v>1084</v>
      </c>
      <c r="C1111" s="1143"/>
      <c r="D1111" s="764"/>
      <c r="E1111" s="764"/>
      <c r="F1111" s="1146"/>
      <c r="G1111" s="1146"/>
      <c r="H1111" s="18"/>
    </row>
    <row r="1112" spans="1:8" ht="15.6">
      <c r="A1112" s="12"/>
      <c r="B1112" s="1142" t="s">
        <v>1089</v>
      </c>
      <c r="C1112" s="1143"/>
      <c r="D1112" s="764"/>
      <c r="E1112" s="764"/>
      <c r="F1112" s="1146"/>
      <c r="G1112" s="1146"/>
      <c r="H1112" s="18"/>
    </row>
    <row r="1113" spans="1:8" ht="15.6">
      <c r="A1113" s="12"/>
      <c r="B1113" s="1142" t="s">
        <v>1085</v>
      </c>
      <c r="C1113" s="1143"/>
      <c r="D1113" s="764"/>
      <c r="E1113" s="764"/>
      <c r="F1113" s="1146"/>
      <c r="G1113" s="1146"/>
      <c r="H1113" s="18"/>
    </row>
    <row r="1114" spans="1:8" ht="15.6">
      <c r="A1114" s="12"/>
      <c r="B1114" s="1142"/>
      <c r="C1114" s="1143"/>
      <c r="D1114" s="764"/>
      <c r="E1114" s="764"/>
      <c r="F1114" s="1146"/>
      <c r="G1114" s="1146"/>
      <c r="H1114" s="18"/>
    </row>
    <row r="1115" spans="1:8" ht="15.6">
      <c r="A1115" s="12"/>
      <c r="B1115" s="1142" t="s">
        <v>1990</v>
      </c>
      <c r="C1115" s="1143">
        <v>1</v>
      </c>
      <c r="D1115" s="764" t="s">
        <v>893</v>
      </c>
      <c r="E1115" s="764" t="s">
        <v>51</v>
      </c>
      <c r="F1115" s="1146">
        <v>200000</v>
      </c>
      <c r="G1115" s="1146">
        <f>C1115*F1115</f>
        <v>200000</v>
      </c>
      <c r="H1115" s="18"/>
    </row>
    <row r="1116" spans="1:8" ht="15.6">
      <c r="A1116" s="12"/>
      <c r="B1116" s="1142"/>
      <c r="C1116" s="1143"/>
      <c r="D1116" s="764"/>
      <c r="E1116" s="764"/>
      <c r="F1116" s="1146"/>
      <c r="G1116" s="1146"/>
      <c r="H1116" s="18"/>
    </row>
    <row r="1117" spans="1:8" ht="15.6">
      <c r="A1117" s="12"/>
      <c r="B1117" s="580"/>
      <c r="C1117" s="1145"/>
      <c r="D1117" s="15"/>
      <c r="E1117" s="15"/>
      <c r="F1117" s="19"/>
      <c r="G1117" s="1146"/>
      <c r="H1117" s="18"/>
    </row>
    <row r="1118" spans="1:8" ht="15.6">
      <c r="A1118" s="603"/>
      <c r="B1118" s="612"/>
      <c r="C1118" s="613"/>
      <c r="D1118" s="615"/>
      <c r="E1118" s="615"/>
      <c r="F1118" s="631"/>
      <c r="G1118" s="632"/>
      <c r="H1118" s="18"/>
    </row>
    <row r="1119" spans="1:8" ht="15.6">
      <c r="A1119" s="619"/>
      <c r="B1119" s="34"/>
      <c r="C1119" s="621"/>
      <c r="D1119" s="36"/>
      <c r="E1119" s="36"/>
      <c r="F1119" s="37" t="s">
        <v>25</v>
      </c>
      <c r="G1119" s="20">
        <f>SUM(G1106:G1118)</f>
        <v>2427500</v>
      </c>
      <c r="H1119" s="18"/>
    </row>
    <row r="1120" spans="1:8" ht="15.6">
      <c r="A1120" s="619"/>
      <c r="B1120" s="34"/>
      <c r="C1120" s="621"/>
      <c r="D1120" s="36"/>
      <c r="E1120" s="36"/>
      <c r="F1120" s="630" t="s">
        <v>26</v>
      </c>
      <c r="G1120" s="20"/>
      <c r="H1120" s="18"/>
    </row>
    <row r="1121" spans="1:8" ht="15.6">
      <c r="A1121" s="625"/>
      <c r="B1121" s="626"/>
      <c r="C1121" s="627"/>
      <c r="D1121" s="628"/>
      <c r="E1121" s="628"/>
      <c r="F1121" s="629"/>
      <c r="G1121" s="612"/>
      <c r="H1121" s="618">
        <f>SUM(G1119:G1120)</f>
        <v>2427500</v>
      </c>
    </row>
    <row r="1122" spans="1:8" ht="16.2" thickBot="1">
      <c r="A1122" s="619"/>
      <c r="B1122" s="620"/>
      <c r="C1122" s="621"/>
      <c r="D1122" s="36"/>
      <c r="E1122" s="36"/>
      <c r="F1122" s="622"/>
      <c r="G1122" s="623"/>
      <c r="H1122" s="26"/>
    </row>
    <row r="1123" spans="1:8" ht="15.6">
      <c r="A1123" s="27"/>
      <c r="B1123" s="28"/>
      <c r="C1123" s="29"/>
      <c r="D1123" s="30"/>
      <c r="E1123" s="30"/>
      <c r="F1123" s="30"/>
      <c r="G1123" s="43" t="s">
        <v>28</v>
      </c>
      <c r="H1123" s="32">
        <f>SUM(H1103:H1121)</f>
        <v>2642500</v>
      </c>
    </row>
    <row r="1124" spans="1:8" ht="16.2" thickBot="1">
      <c r="A1124" s="609"/>
      <c r="B1124" s="606"/>
      <c r="C1124" s="610"/>
      <c r="D1124" s="610"/>
      <c r="E1124" s="607"/>
      <c r="F1124" s="608"/>
      <c r="G1124" s="47" t="s">
        <v>30</v>
      </c>
      <c r="H1124" s="48">
        <f>ROUND(H1123,-3)</f>
        <v>2643000</v>
      </c>
    </row>
    <row r="1125" spans="1:8" ht="15.6">
      <c r="A1125" s="49"/>
      <c r="B1125" s="49"/>
      <c r="C1125" s="49"/>
      <c r="D1125" s="49"/>
      <c r="E1125" s="49"/>
      <c r="F1125" s="49"/>
      <c r="G1125" s="49"/>
      <c r="H1125" s="50"/>
    </row>
    <row r="1126" spans="1:8" ht="18">
      <c r="A1126" s="633" t="s">
        <v>549</v>
      </c>
      <c r="B1126" s="49"/>
      <c r="C1126" s="49"/>
      <c r="D1126" s="49"/>
      <c r="E1126" s="49"/>
      <c r="F1126" s="49"/>
      <c r="G1126" s="49"/>
      <c r="H1126" s="50"/>
    </row>
    <row r="1127" spans="1:8" ht="18">
      <c r="A1127" s="51"/>
      <c r="B1127" s="957" t="s">
        <v>1992</v>
      </c>
      <c r="C1127" s="51"/>
      <c r="D1127" s="51"/>
      <c r="E1127" s="51"/>
      <c r="F1127" s="51"/>
      <c r="G1127" s="604"/>
      <c r="H1127" s="602"/>
    </row>
    <row r="1128" spans="1:8" ht="18">
      <c r="A1128" s="51"/>
      <c r="B1128" s="51"/>
      <c r="C1128" s="51"/>
      <c r="D1128" s="51"/>
      <c r="E1128" s="51"/>
      <c r="F1128" s="51"/>
      <c r="G1128" s="1530" t="s">
        <v>1991</v>
      </c>
      <c r="H1128" s="1530"/>
    </row>
    <row r="1129" spans="1:8" ht="18">
      <c r="A1129" s="1530" t="s">
        <v>31</v>
      </c>
      <c r="B1129" s="1530"/>
      <c r="C1129" s="1530" t="s">
        <v>914</v>
      </c>
      <c r="D1129" s="1530"/>
      <c r="E1129" s="1530"/>
      <c r="F1129" s="958"/>
      <c r="G1129" s="1530" t="s">
        <v>33</v>
      </c>
      <c r="H1129" s="1530"/>
    </row>
    <row r="1130" spans="1:8" ht="18">
      <c r="A1130" s="958"/>
      <c r="B1130" s="958"/>
      <c r="C1130" s="958"/>
      <c r="D1130" s="958"/>
      <c r="E1130" s="958"/>
      <c r="F1130" s="958"/>
      <c r="G1130" s="958"/>
      <c r="H1130" s="958"/>
    </row>
    <row r="1131" spans="1:8" ht="18">
      <c r="A1131" s="958"/>
      <c r="B1131" s="958"/>
      <c r="C1131" s="958"/>
      <c r="D1131" s="958"/>
      <c r="E1131" s="958"/>
      <c r="F1131" s="958"/>
      <c r="G1131" s="958"/>
      <c r="H1131" s="958"/>
    </row>
    <row r="1132" spans="1:8" ht="18">
      <c r="A1132" s="958"/>
      <c r="B1132" s="958"/>
      <c r="C1132" s="958"/>
      <c r="D1132" s="958"/>
      <c r="E1132" s="958"/>
      <c r="F1132" s="958"/>
      <c r="G1132" s="958"/>
      <c r="H1132" s="958"/>
    </row>
    <row r="1133" spans="1:8" ht="18">
      <c r="A1133" s="1529" t="s">
        <v>1622</v>
      </c>
      <c r="B1133" s="1529"/>
      <c r="C1133" s="1529" t="s">
        <v>1603</v>
      </c>
      <c r="D1133" s="1529"/>
      <c r="E1133" s="1529"/>
      <c r="F1133" s="958"/>
      <c r="G1133" s="1529" t="s">
        <v>1661</v>
      </c>
      <c r="H1133" s="1529"/>
    </row>
    <row r="1134" spans="1:8" ht="18">
      <c r="A1134" s="1530" t="s">
        <v>37</v>
      </c>
      <c r="B1134" s="1530"/>
      <c r="C1134" s="1530" t="s">
        <v>1867</v>
      </c>
      <c r="D1134" s="1530"/>
      <c r="E1134" s="1530"/>
      <c r="F1134" s="958"/>
      <c r="G1134" s="1530" t="s">
        <v>39</v>
      </c>
      <c r="H1134" s="1530"/>
    </row>
    <row r="1135" spans="1:8">
      <c r="A1135" s="5"/>
      <c r="B1135" s="5"/>
      <c r="C1135" s="5"/>
      <c r="D1135" s="5"/>
      <c r="E1135" s="5"/>
      <c r="F1135" s="6"/>
      <c r="G1135" s="5"/>
      <c r="H1135" s="5"/>
    </row>
    <row r="1141" spans="1:8" ht="28.8">
      <c r="A1141" s="597"/>
      <c r="B1141" s="597"/>
      <c r="C1141" s="1513" t="s">
        <v>235</v>
      </c>
      <c r="D1141" s="1513"/>
      <c r="E1141" s="1513"/>
      <c r="F1141" s="1513"/>
      <c r="G1141" s="1513"/>
      <c r="H1141" s="1513"/>
    </row>
    <row r="1142" spans="1:8" ht="28.8">
      <c r="A1142" s="597"/>
      <c r="B1142" s="597"/>
      <c r="C1142" s="1541" t="s">
        <v>1909</v>
      </c>
      <c r="D1142" s="1541"/>
      <c r="E1142" s="1541"/>
      <c r="F1142" s="1541"/>
      <c r="G1142" s="1541"/>
      <c r="H1142" s="1541"/>
    </row>
    <row r="1143" spans="1:8" ht="23.4">
      <c r="A1143" s="830"/>
      <c r="B1143" s="830"/>
      <c r="C1143" s="1537" t="s">
        <v>237</v>
      </c>
      <c r="D1143" s="1537"/>
      <c r="E1143" s="1537"/>
      <c r="F1143" s="1537"/>
      <c r="G1143" s="1537"/>
      <c r="H1143" s="1537"/>
    </row>
    <row r="1144" spans="1:8" ht="15.6">
      <c r="A1144" s="769"/>
      <c r="B1144" s="769"/>
      <c r="C1144" s="769"/>
      <c r="D1144" s="769"/>
      <c r="E1144" s="769"/>
      <c r="F1144" s="769"/>
      <c r="G1144" s="769"/>
      <c r="H1144" s="769"/>
    </row>
    <row r="1145" spans="1:8" ht="15.6">
      <c r="A1145" s="769"/>
      <c r="B1145" s="769"/>
      <c r="C1145" s="769"/>
      <c r="D1145" s="769"/>
      <c r="E1145" s="769"/>
      <c r="F1145" s="769"/>
      <c r="G1145" s="769"/>
      <c r="H1145" s="769"/>
    </row>
    <row r="1146" spans="1:8" ht="18">
      <c r="A1146" s="1531" t="s">
        <v>3</v>
      </c>
      <c r="B1146" s="1531" t="s">
        <v>4</v>
      </c>
      <c r="C1146" s="1531" t="s">
        <v>5</v>
      </c>
      <c r="D1146" s="1531" t="s">
        <v>6</v>
      </c>
      <c r="E1146" s="1531" t="s">
        <v>7</v>
      </c>
      <c r="F1146" s="1001" t="s">
        <v>8</v>
      </c>
      <c r="G1146" s="1001" t="s">
        <v>9</v>
      </c>
      <c r="H1146" s="1001" t="s">
        <v>10</v>
      </c>
    </row>
    <row r="1147" spans="1:8" ht="18">
      <c r="A1147" s="1532"/>
      <c r="B1147" s="1532"/>
      <c r="C1147" s="1532"/>
      <c r="D1147" s="1532"/>
      <c r="E1147" s="1532"/>
      <c r="F1147" s="1002" t="s">
        <v>11</v>
      </c>
      <c r="G1147" s="1002" t="s">
        <v>11</v>
      </c>
      <c r="H1147" s="1002" t="s">
        <v>11</v>
      </c>
    </row>
    <row r="1148" spans="1:8" ht="18">
      <c r="A1148" s="1001" t="s">
        <v>12</v>
      </c>
      <c r="B1148" s="1003" t="s">
        <v>364</v>
      </c>
      <c r="C1148" s="1004"/>
      <c r="D1148" s="1005"/>
      <c r="E1148" s="1005"/>
      <c r="F1148" s="1005"/>
      <c r="G1148" s="1006"/>
      <c r="H1148" s="1057"/>
    </row>
    <row r="1149" spans="1:8" ht="18">
      <c r="A1149" s="1024">
        <v>1</v>
      </c>
      <c r="B1149" s="1021" t="s">
        <v>1950</v>
      </c>
      <c r="C1149" s="1010">
        <v>1.5</v>
      </c>
      <c r="D1149" s="1011" t="s">
        <v>1665</v>
      </c>
      <c r="E1149" s="1134" t="s">
        <v>1937</v>
      </c>
      <c r="F1149" s="1012">
        <v>650000</v>
      </c>
      <c r="G1149" s="1012">
        <f>F1149*C1149</f>
        <v>975000</v>
      </c>
      <c r="H1149" s="1058"/>
    </row>
    <row r="1150" spans="1:8" ht="18">
      <c r="A1150" s="1024">
        <v>2</v>
      </c>
      <c r="B1150" s="1021" t="s">
        <v>1951</v>
      </c>
      <c r="C1150" s="1010">
        <v>1</v>
      </c>
      <c r="D1150" s="1011" t="s">
        <v>44</v>
      </c>
      <c r="E1150" s="1134" t="s">
        <v>82</v>
      </c>
      <c r="F1150" s="1012">
        <v>302500</v>
      </c>
      <c r="G1150" s="1012">
        <f>F1150*C1150</f>
        <v>302500</v>
      </c>
      <c r="H1150" s="1058"/>
    </row>
    <row r="1151" spans="1:8" ht="18">
      <c r="A1151" s="1024">
        <v>3</v>
      </c>
      <c r="B1151" s="1021" t="s">
        <v>1001</v>
      </c>
      <c r="C1151" s="1010">
        <v>1</v>
      </c>
      <c r="D1151" s="1011" t="s">
        <v>1665</v>
      </c>
      <c r="E1151" s="1134" t="s">
        <v>82</v>
      </c>
      <c r="F1151" s="1012">
        <v>132000</v>
      </c>
      <c r="G1151" s="1012">
        <f>F1151*C1151</f>
        <v>132000</v>
      </c>
      <c r="H1151" s="1058"/>
    </row>
    <row r="1152" spans="1:8" ht="18">
      <c r="A1152" s="1024">
        <v>4</v>
      </c>
      <c r="B1152" s="1021" t="s">
        <v>1952</v>
      </c>
      <c r="C1152" s="1010">
        <v>12</v>
      </c>
      <c r="D1152" s="1011" t="s">
        <v>44</v>
      </c>
      <c r="E1152" s="1134" t="s">
        <v>82</v>
      </c>
      <c r="F1152" s="1012">
        <v>4300</v>
      </c>
      <c r="G1152" s="1012">
        <f>F1152*C1152</f>
        <v>51600</v>
      </c>
      <c r="H1152" s="1058"/>
    </row>
    <row r="1153" spans="1:8" ht="18">
      <c r="A1153" s="1013"/>
      <c r="B1153" s="1014"/>
      <c r="C1153" s="1015"/>
      <c r="D1153" s="1016"/>
      <c r="E1153" s="1016"/>
      <c r="F1153" s="1017"/>
      <c r="G1153" s="1017"/>
      <c r="H1153" s="1135">
        <f>SUM(G1148:G1153)</f>
        <v>1461100</v>
      </c>
    </row>
    <row r="1154" spans="1:8" ht="18">
      <c r="A1154" s="1008" t="s">
        <v>18</v>
      </c>
      <c r="B1154" s="1019" t="s">
        <v>1958</v>
      </c>
      <c r="C1154" s="1020"/>
      <c r="D1154" s="1011"/>
      <c r="E1154" s="1011"/>
      <c r="F1154" s="1136"/>
      <c r="G1154" s="1136"/>
      <c r="H1154" s="1137"/>
    </row>
    <row r="1155" spans="1:8" ht="18">
      <c r="A1155" s="1023">
        <v>1</v>
      </c>
      <c r="B1155" s="1021" t="s">
        <v>1953</v>
      </c>
      <c r="C1155" s="1010">
        <v>1</v>
      </c>
      <c r="D1155" s="1011" t="s">
        <v>44</v>
      </c>
      <c r="E1155" s="1134" t="s">
        <v>51</v>
      </c>
      <c r="F1155" s="1022">
        <v>450000</v>
      </c>
      <c r="G1155" s="1022">
        <f t="shared" ref="G1155:G1160" si="4">F1155*C1155</f>
        <v>450000</v>
      </c>
      <c r="H1155" s="1007"/>
    </row>
    <row r="1156" spans="1:8" ht="18">
      <c r="A1156" s="1023">
        <v>2</v>
      </c>
      <c r="B1156" s="1021" t="s">
        <v>1959</v>
      </c>
      <c r="C1156" s="1010">
        <f>0.79*2</f>
        <v>1.58</v>
      </c>
      <c r="D1156" s="1011" t="s">
        <v>1665</v>
      </c>
      <c r="E1156" s="1134" t="s">
        <v>82</v>
      </c>
      <c r="F1156" s="1022">
        <f>53325*1.5</f>
        <v>79987.5</v>
      </c>
      <c r="G1156" s="1022">
        <f t="shared" si="4"/>
        <v>126380.25</v>
      </c>
      <c r="H1156" s="1007"/>
    </row>
    <row r="1157" spans="1:8" ht="18">
      <c r="A1157" s="1023">
        <v>3</v>
      </c>
      <c r="B1157" s="1021" t="s">
        <v>1954</v>
      </c>
      <c r="C1157" s="1010">
        <f>0.79*3</f>
        <v>2.37</v>
      </c>
      <c r="D1157" s="1011" t="s">
        <v>1665</v>
      </c>
      <c r="E1157" s="1134" t="s">
        <v>82</v>
      </c>
      <c r="F1157" s="1022">
        <v>214375</v>
      </c>
      <c r="G1157" s="1022">
        <f t="shared" si="4"/>
        <v>508068.75</v>
      </c>
      <c r="H1157" s="1007"/>
    </row>
    <row r="1158" spans="1:8" ht="18">
      <c r="A1158" s="1023">
        <v>4</v>
      </c>
      <c r="B1158" s="1021" t="s">
        <v>1955</v>
      </c>
      <c r="C1158" s="1010">
        <f>0.79*2</f>
        <v>1.58</v>
      </c>
      <c r="D1158" s="1011" t="s">
        <v>1665</v>
      </c>
      <c r="E1158" s="1134" t="s">
        <v>82</v>
      </c>
      <c r="F1158" s="1022">
        <v>214375</v>
      </c>
      <c r="G1158" s="1022">
        <f t="shared" si="4"/>
        <v>338712.5</v>
      </c>
      <c r="H1158" s="1007"/>
    </row>
    <row r="1159" spans="1:8" ht="18">
      <c r="A1159" s="1023">
        <v>5</v>
      </c>
      <c r="B1159" s="1021" t="s">
        <v>1956</v>
      </c>
      <c r="C1159" s="1010">
        <v>1</v>
      </c>
      <c r="D1159" s="1011" t="s">
        <v>44</v>
      </c>
      <c r="E1159" s="1134" t="s">
        <v>51</v>
      </c>
      <c r="F1159" s="1022">
        <v>200000</v>
      </c>
      <c r="G1159" s="1022">
        <f t="shared" si="4"/>
        <v>200000</v>
      </c>
      <c r="H1159" s="1007"/>
    </row>
    <row r="1160" spans="1:8" ht="18">
      <c r="A1160" s="1023">
        <v>6</v>
      </c>
      <c r="B1160" s="1021" t="s">
        <v>1957</v>
      </c>
      <c r="C1160" s="1010">
        <v>2.75</v>
      </c>
      <c r="D1160" s="1011" t="s">
        <v>1665</v>
      </c>
      <c r="E1160" s="1134" t="s">
        <v>1889</v>
      </c>
      <c r="F1160" s="1022">
        <f>12797*1.5</f>
        <v>19195.5</v>
      </c>
      <c r="G1160" s="1022">
        <f t="shared" si="4"/>
        <v>52787.625</v>
      </c>
      <c r="H1160" s="1007"/>
    </row>
    <row r="1161" spans="1:8" ht="18">
      <c r="A1161" s="1023">
        <v>7</v>
      </c>
      <c r="B1161" s="1021" t="s">
        <v>1978</v>
      </c>
      <c r="C1161" s="1010">
        <v>1</v>
      </c>
      <c r="D1161" s="1011" t="s">
        <v>400</v>
      </c>
      <c r="E1161" s="1134" t="s">
        <v>51</v>
      </c>
      <c r="F1161" s="1022">
        <v>255000</v>
      </c>
      <c r="G1161" s="1022">
        <f>F1161</f>
        <v>255000</v>
      </c>
      <c r="H1161" s="1007"/>
    </row>
    <row r="1162" spans="1:8" ht="18">
      <c r="A1162" s="1023">
        <v>8</v>
      </c>
      <c r="B1162" s="1021" t="s">
        <v>1979</v>
      </c>
      <c r="C1162" s="1010">
        <v>1</v>
      </c>
      <c r="D1162" s="1011" t="s">
        <v>126</v>
      </c>
      <c r="E1162" s="1134" t="s">
        <v>126</v>
      </c>
      <c r="F1162" s="1022">
        <v>125000</v>
      </c>
      <c r="G1162" s="1022">
        <f>F1162</f>
        <v>125000</v>
      </c>
      <c r="H1162" s="1007"/>
    </row>
    <row r="1163" spans="1:8" ht="18">
      <c r="A1163" s="1023"/>
      <c r="B1163" s="1024"/>
      <c r="C1163" s="1022"/>
      <c r="D1163" s="1011"/>
      <c r="E1163" s="1011"/>
      <c r="F1163" s="1022"/>
      <c r="G1163" s="1022"/>
      <c r="H1163" s="1007"/>
    </row>
    <row r="1164" spans="1:8" ht="18">
      <c r="A1164" s="1025"/>
      <c r="B1164" s="1026"/>
      <c r="C1164" s="1027"/>
      <c r="D1164" s="1028"/>
      <c r="E1164" s="1029"/>
      <c r="F1164" s="1029" t="s">
        <v>25</v>
      </c>
      <c r="G1164" s="1030">
        <f>SUM(G1155:G1163)</f>
        <v>2055949.125</v>
      </c>
      <c r="H1164" s="1018"/>
    </row>
    <row r="1165" spans="1:8" ht="18">
      <c r="A1165" s="1031"/>
      <c r="B1165" s="1032"/>
      <c r="C1165" s="1033"/>
      <c r="D1165" s="1033"/>
      <c r="E1165" s="1034"/>
      <c r="F1165" s="1035" t="s">
        <v>1151</v>
      </c>
      <c r="G1165" s="1036"/>
      <c r="H1165" s="1037"/>
    </row>
    <row r="1166" spans="1:8" ht="18">
      <c r="A1166" s="1038"/>
      <c r="B1166" s="1039"/>
      <c r="C1166" s="1040"/>
      <c r="D1166" s="1040"/>
      <c r="E1166" s="1041"/>
      <c r="F1166" s="1042"/>
      <c r="G1166" s="1043"/>
      <c r="H1166" s="1044">
        <f>G1164+G1165</f>
        <v>2055949.125</v>
      </c>
    </row>
    <row r="1167" spans="1:8" ht="18">
      <c r="A1167" s="1031"/>
      <c r="B1167" s="1032"/>
      <c r="C1167" s="1033"/>
      <c r="D1167" s="1033"/>
      <c r="E1167" s="1034"/>
      <c r="F1167" s="1035"/>
      <c r="G1167" s="1045"/>
      <c r="H1167" s="1046"/>
    </row>
    <row r="1168" spans="1:8" ht="18">
      <c r="A1168" s="1047"/>
      <c r="B1168" s="1048"/>
      <c r="C1168" s="1048"/>
      <c r="D1168" s="1048"/>
      <c r="E1168" s="1048"/>
      <c r="F1168" s="1049"/>
      <c r="G1168" s="1050" t="s">
        <v>28</v>
      </c>
      <c r="H1168" s="1006">
        <f>H1166+H1153+J1090</f>
        <v>3722644.0375000001</v>
      </c>
    </row>
    <row r="1169" spans="1:11" ht="18">
      <c r="A1169" s="1051"/>
      <c r="B1169" s="1052"/>
      <c r="C1169" s="1053"/>
      <c r="D1169" s="1053"/>
      <c r="E1169" s="1053"/>
      <c r="F1169" s="1054"/>
      <c r="G1169" s="1055" t="s">
        <v>30</v>
      </c>
      <c r="H1169" s="1056">
        <f>ROUND(H1168,-3)</f>
        <v>3723000</v>
      </c>
    </row>
    <row r="1170" spans="1:11" ht="18">
      <c r="A1170" s="1138"/>
      <c r="B1170" s="1138"/>
      <c r="C1170" s="1138"/>
      <c r="D1170" s="1138"/>
      <c r="E1170" s="1138"/>
      <c r="F1170" s="1138"/>
      <c r="G1170" s="1138"/>
      <c r="H1170" s="1139"/>
    </row>
    <row r="1171" spans="1:11" ht="18">
      <c r="A1171" s="768" t="s">
        <v>1150</v>
      </c>
      <c r="B1171" s="1138"/>
      <c r="C1171" s="1138"/>
      <c r="D1171" s="1138"/>
      <c r="E1171" s="1138"/>
      <c r="F1171" s="1138"/>
      <c r="G1171" s="1138"/>
      <c r="H1171" s="1139"/>
      <c r="K1171" s="1">
        <f>24*3</f>
        <v>72</v>
      </c>
    </row>
    <row r="1172" spans="1:11" ht="18">
      <c r="A1172" s="1138"/>
      <c r="B1172" s="965" t="s">
        <v>1980</v>
      </c>
      <c r="C1172" s="1138"/>
      <c r="D1172" s="1138"/>
      <c r="E1172" s="1138"/>
      <c r="F1172" s="1138"/>
      <c r="G1172" s="1138"/>
      <c r="H1172" s="1139"/>
      <c r="K1172" s="1">
        <f>33*3</f>
        <v>99</v>
      </c>
    </row>
    <row r="1173" spans="1:11" ht="18">
      <c r="A1173" s="1138"/>
      <c r="B1173" s="1138"/>
      <c r="C1173" s="1138"/>
      <c r="D1173" s="1138"/>
      <c r="E1173" s="1138"/>
      <c r="F1173" s="1138"/>
      <c r="G1173" s="1138"/>
      <c r="H1173" s="1139"/>
      <c r="K1173" s="1">
        <f>18*3</f>
        <v>54</v>
      </c>
    </row>
    <row r="1174" spans="1:11" ht="18">
      <c r="A1174" s="958"/>
      <c r="B1174" s="958"/>
      <c r="C1174" s="958"/>
      <c r="D1174" s="958"/>
      <c r="E1174" s="958"/>
      <c r="F1174" s="958"/>
      <c r="G1174" s="1530" t="s">
        <v>1977</v>
      </c>
      <c r="H1174" s="1530"/>
      <c r="K1174" s="1">
        <f>K1171+K1172+K1173</f>
        <v>225</v>
      </c>
    </row>
    <row r="1175" spans="1:11" ht="18">
      <c r="A1175" s="1530" t="s">
        <v>31</v>
      </c>
      <c r="B1175" s="1530"/>
      <c r="C1175" s="1530" t="s">
        <v>32</v>
      </c>
      <c r="D1175" s="1530"/>
      <c r="E1175" s="1530"/>
      <c r="F1175" s="958"/>
      <c r="G1175" s="1530" t="s">
        <v>33</v>
      </c>
      <c r="H1175" s="1530"/>
      <c r="K1175" s="1">
        <f>K1174*2</f>
        <v>450</v>
      </c>
    </row>
    <row r="1176" spans="1:11" ht="18">
      <c r="A1176" s="958"/>
      <c r="B1176" s="958"/>
      <c r="C1176" s="958"/>
      <c r="D1176" s="958"/>
      <c r="E1176" s="958"/>
      <c r="F1176" s="958"/>
      <c r="G1176" s="958"/>
      <c r="H1176" s="958"/>
    </row>
    <row r="1177" spans="1:11" ht="18">
      <c r="A1177" s="958"/>
      <c r="B1177" s="958"/>
      <c r="C1177" s="958"/>
      <c r="D1177" s="958"/>
      <c r="E1177" s="958"/>
      <c r="F1177" s="958"/>
      <c r="G1177" s="958"/>
      <c r="H1177" s="958"/>
    </row>
    <row r="1178" spans="1:11" ht="18">
      <c r="A1178" s="958"/>
      <c r="B1178" s="958"/>
      <c r="C1178" s="958"/>
      <c r="D1178" s="958"/>
      <c r="E1178" s="958"/>
      <c r="F1178" s="958"/>
      <c r="G1178" s="958"/>
      <c r="H1178" s="958"/>
    </row>
    <row r="1179" spans="1:11" ht="18">
      <c r="A1179" s="1529" t="s">
        <v>1622</v>
      </c>
      <c r="B1179" s="1529"/>
      <c r="C1179" s="1529" t="s">
        <v>1603</v>
      </c>
      <c r="D1179" s="1529"/>
      <c r="E1179" s="1529"/>
      <c r="F1179" s="958"/>
      <c r="G1179" s="1529" t="s">
        <v>1661</v>
      </c>
      <c r="H1179" s="1529"/>
    </row>
    <row r="1180" spans="1:11" ht="18">
      <c r="A1180" s="1530" t="s">
        <v>37</v>
      </c>
      <c r="B1180" s="1530"/>
      <c r="C1180" s="1530" t="s">
        <v>1604</v>
      </c>
      <c r="D1180" s="1530"/>
      <c r="E1180" s="1530"/>
      <c r="F1180" s="958"/>
      <c r="G1180" s="1530" t="s">
        <v>39</v>
      </c>
      <c r="H1180" s="1530"/>
    </row>
    <row r="1181" spans="1:11" ht="18">
      <c r="A1181" s="1140"/>
      <c r="B1181" s="1140"/>
      <c r="C1181" s="1140"/>
      <c r="D1181" s="1140"/>
      <c r="E1181" s="1140"/>
      <c r="F1181" s="1140"/>
      <c r="G1181" s="1140"/>
      <c r="H1181" s="1140"/>
    </row>
    <row r="1190" spans="1:16" ht="23.4">
      <c r="M1190" s="1147">
        <f>320*30</f>
        <v>9600</v>
      </c>
    </row>
    <row r="1193" spans="1:16" ht="28.8">
      <c r="A1193" s="597"/>
      <c r="B1193" s="597"/>
      <c r="C1193" s="1513" t="s">
        <v>235</v>
      </c>
      <c r="D1193" s="1513"/>
      <c r="E1193" s="1513"/>
      <c r="F1193" s="1513"/>
      <c r="G1193" s="1513"/>
      <c r="H1193" s="1513"/>
    </row>
    <row r="1194" spans="1:16" ht="28.8">
      <c r="A1194" s="597"/>
      <c r="B1194" s="597"/>
      <c r="C1194" s="1541" t="s">
        <v>2140</v>
      </c>
      <c r="D1194" s="1541"/>
      <c r="E1194" s="1541"/>
      <c r="F1194" s="1541"/>
      <c r="G1194" s="1541"/>
      <c r="H1194" s="1541"/>
    </row>
    <row r="1195" spans="1:16" ht="23.4">
      <c r="A1195" s="830"/>
      <c r="B1195" s="830"/>
      <c r="C1195" s="1537" t="s">
        <v>311</v>
      </c>
      <c r="D1195" s="1537"/>
      <c r="E1195" s="1537"/>
      <c r="F1195" s="1537"/>
      <c r="G1195" s="1537"/>
      <c r="H1195" s="1537"/>
    </row>
    <row r="1196" spans="1:16" ht="15.6">
      <c r="A1196" s="769"/>
      <c r="B1196" s="769"/>
      <c r="C1196" s="769"/>
      <c r="D1196" s="769"/>
      <c r="E1196" s="769"/>
      <c r="F1196" s="769"/>
      <c r="G1196" s="769"/>
      <c r="H1196" s="769"/>
    </row>
    <row r="1197" spans="1:16" ht="16.2" thickBot="1">
      <c r="A1197" s="769"/>
      <c r="B1197" s="769"/>
      <c r="C1197" s="769"/>
      <c r="D1197" s="769"/>
      <c r="E1197" s="769"/>
      <c r="F1197" s="769"/>
      <c r="G1197" s="769"/>
      <c r="H1197" s="769"/>
    </row>
    <row r="1198" spans="1:16" ht="21.6" thickBot="1">
      <c r="A1198" s="1531" t="s">
        <v>3</v>
      </c>
      <c r="B1198" s="1531" t="s">
        <v>4</v>
      </c>
      <c r="C1198" s="1531" t="s">
        <v>5</v>
      </c>
      <c r="D1198" s="1531" t="s">
        <v>6</v>
      </c>
      <c r="E1198" s="1531" t="s">
        <v>7</v>
      </c>
      <c r="F1198" s="1001" t="s">
        <v>8</v>
      </c>
      <c r="G1198" s="1001" t="s">
        <v>9</v>
      </c>
      <c r="H1198" s="1001" t="s">
        <v>10</v>
      </c>
      <c r="M1198" s="1148">
        <v>6000</v>
      </c>
      <c r="N1198" s="1149">
        <v>200</v>
      </c>
      <c r="O1198" s="1150">
        <v>7500</v>
      </c>
      <c r="P1198" s="1149">
        <v>250</v>
      </c>
    </row>
    <row r="1199" spans="1:16" ht="21.6" thickBot="1">
      <c r="A1199" s="1532"/>
      <c r="B1199" s="1532"/>
      <c r="C1199" s="1532"/>
      <c r="D1199" s="1532"/>
      <c r="E1199" s="1532"/>
      <c r="F1199" s="1002" t="s">
        <v>11</v>
      </c>
      <c r="G1199" s="1002" t="s">
        <v>11</v>
      </c>
      <c r="H1199" s="1002" t="s">
        <v>11</v>
      </c>
      <c r="M1199" s="1151">
        <v>5100</v>
      </c>
      <c r="N1199" s="1152">
        <v>170</v>
      </c>
      <c r="O1199" s="1153">
        <v>7500</v>
      </c>
      <c r="P1199" s="1152">
        <v>250</v>
      </c>
    </row>
    <row r="1200" spans="1:16" ht="21.6" thickBot="1">
      <c r="A1200" s="1001" t="s">
        <v>12</v>
      </c>
      <c r="B1200" s="1003" t="s">
        <v>364</v>
      </c>
      <c r="C1200" s="1004"/>
      <c r="D1200" s="1005"/>
      <c r="E1200" s="1005"/>
      <c r="F1200" s="1005"/>
      <c r="G1200" s="1006"/>
      <c r="H1200" s="1057"/>
      <c r="M1200" s="1151">
        <v>5100</v>
      </c>
      <c r="N1200" s="1152">
        <v>170</v>
      </c>
      <c r="O1200" s="1153">
        <v>7500</v>
      </c>
      <c r="P1200" s="1152">
        <v>250</v>
      </c>
    </row>
    <row r="1201" spans="1:16" ht="21.6" thickBot="1">
      <c r="A1201" s="1024">
        <v>1</v>
      </c>
      <c r="B1201" s="1021" t="s">
        <v>1993</v>
      </c>
      <c r="C1201" s="1010">
        <v>4</v>
      </c>
      <c r="D1201" s="1011" t="s">
        <v>44</v>
      </c>
      <c r="E1201" s="1134" t="s">
        <v>1937</v>
      </c>
      <c r="F1201" s="1012">
        <v>1500000</v>
      </c>
      <c r="G1201" s="1012">
        <f>F1201*C1201</f>
        <v>6000000</v>
      </c>
      <c r="H1201" s="1058"/>
      <c r="M1201" s="1151">
        <v>4800</v>
      </c>
      <c r="N1201" s="1152">
        <v>160</v>
      </c>
      <c r="O1201" s="1153">
        <v>4800</v>
      </c>
      <c r="P1201" s="1152">
        <v>160</v>
      </c>
    </row>
    <row r="1202" spans="1:16" ht="21.6" thickBot="1">
      <c r="A1202" s="1024"/>
      <c r="B1202" s="1021" t="s">
        <v>1994</v>
      </c>
      <c r="C1202" s="1010"/>
      <c r="D1202" s="1011"/>
      <c r="E1202" s="1134"/>
      <c r="F1202" s="1012"/>
      <c r="G1202" s="1012"/>
      <c r="H1202" s="1058"/>
      <c r="M1202" s="1151">
        <v>9600</v>
      </c>
      <c r="N1202" s="1152">
        <v>320</v>
      </c>
      <c r="O1202" s="1153">
        <v>9600</v>
      </c>
      <c r="P1202" s="1152">
        <v>320</v>
      </c>
    </row>
    <row r="1203" spans="1:16" ht="21.6" thickBot="1">
      <c r="A1203" s="1024">
        <v>2</v>
      </c>
      <c r="B1203" s="1021" t="s">
        <v>1944</v>
      </c>
      <c r="C1203" s="1010">
        <v>2</v>
      </c>
      <c r="D1203" s="1011" t="s">
        <v>44</v>
      </c>
      <c r="E1203" s="1134" t="s">
        <v>1937</v>
      </c>
      <c r="F1203" s="1012">
        <v>2000000</v>
      </c>
      <c r="G1203" s="1012">
        <f>F1203*C1203</f>
        <v>4000000</v>
      </c>
      <c r="H1203" s="1058"/>
      <c r="M1203" s="1151">
        <v>4800</v>
      </c>
      <c r="N1203" s="1152">
        <v>160</v>
      </c>
      <c r="O1203" s="1153">
        <v>4800</v>
      </c>
      <c r="P1203" s="1152">
        <v>160</v>
      </c>
    </row>
    <row r="1204" spans="1:16" ht="21.6" thickBot="1">
      <c r="A1204" s="1024">
        <v>3</v>
      </c>
      <c r="B1204" s="1021" t="s">
        <v>1945</v>
      </c>
      <c r="C1204" s="1010">
        <v>48</v>
      </c>
      <c r="D1204" s="1011" t="s">
        <v>44</v>
      </c>
      <c r="E1204" s="1134" t="s">
        <v>1937</v>
      </c>
      <c r="F1204" s="1012">
        <v>25000</v>
      </c>
      <c r="G1204" s="1012">
        <f>F1204*C1204</f>
        <v>1200000</v>
      </c>
      <c r="H1204" s="1058"/>
      <c r="M1204" s="1151">
        <v>5100</v>
      </c>
      <c r="N1204" s="1152">
        <v>170</v>
      </c>
      <c r="O1204" s="1153">
        <v>7500</v>
      </c>
      <c r="P1204" s="1152">
        <v>250</v>
      </c>
    </row>
    <row r="1205" spans="1:16" ht="21" thickBot="1">
      <c r="A1205" s="1024">
        <v>4</v>
      </c>
      <c r="B1205" s="1021" t="s">
        <v>1001</v>
      </c>
      <c r="C1205" s="1010">
        <v>4</v>
      </c>
      <c r="D1205" s="1011" t="s">
        <v>1665</v>
      </c>
      <c r="E1205" s="1134" t="s">
        <v>82</v>
      </c>
      <c r="F1205" s="1012">
        <v>132000</v>
      </c>
      <c r="G1205" s="1012">
        <f>F1205*C1205</f>
        <v>528000</v>
      </c>
      <c r="H1205" s="1058"/>
      <c r="M1205" s="1154">
        <f>SUM(M1198:M1204)</f>
        <v>40500</v>
      </c>
      <c r="N1205" s="1154">
        <f>SUM(N1198:N1204)</f>
        <v>1350</v>
      </c>
      <c r="O1205" s="1154">
        <f>SUM(O1198:O1204)</f>
        <v>49200</v>
      </c>
      <c r="P1205" s="1154">
        <f>SUM(P1198:P1204)</f>
        <v>1640</v>
      </c>
    </row>
    <row r="1206" spans="1:16" ht="20.399999999999999">
      <c r="A1206" s="1024">
        <v>5</v>
      </c>
      <c r="B1206" s="1021" t="s">
        <v>2141</v>
      </c>
      <c r="C1206" s="1010">
        <v>2</v>
      </c>
      <c r="D1206" s="1011" t="s">
        <v>44</v>
      </c>
      <c r="E1206" s="1134" t="s">
        <v>16</v>
      </c>
      <c r="F1206" s="1012">
        <v>1000000</v>
      </c>
      <c r="G1206" s="1012">
        <f>F1206*C1206</f>
        <v>2000000</v>
      </c>
      <c r="H1206" s="1058"/>
      <c r="M1206" s="1349"/>
      <c r="N1206" s="1349"/>
      <c r="O1206" s="1349"/>
      <c r="P1206" s="1349"/>
    </row>
    <row r="1207" spans="1:16" ht="18">
      <c r="A1207" s="1013"/>
      <c r="B1207" s="1014"/>
      <c r="C1207" s="1015"/>
      <c r="D1207" s="1016"/>
      <c r="E1207" s="1016"/>
      <c r="F1207" s="1017"/>
      <c r="G1207" s="1017"/>
      <c r="H1207" s="1135">
        <f>SUM(G1200:G1207)</f>
        <v>13728000</v>
      </c>
    </row>
    <row r="1208" spans="1:16" ht="18">
      <c r="A1208" s="1008" t="s">
        <v>18</v>
      </c>
      <c r="B1208" s="1019" t="s">
        <v>19</v>
      </c>
      <c r="C1208" s="1020"/>
      <c r="D1208" s="1011"/>
      <c r="E1208" s="1011"/>
      <c r="F1208" s="1136"/>
      <c r="G1208" s="1136"/>
      <c r="H1208" s="1137"/>
    </row>
    <row r="1209" spans="1:16" ht="18">
      <c r="A1209" s="1023">
        <v>1</v>
      </c>
      <c r="B1209" s="1021" t="s">
        <v>1946</v>
      </c>
      <c r="C1209" s="1010">
        <v>4</v>
      </c>
      <c r="D1209" s="1011" t="s">
        <v>44</v>
      </c>
      <c r="E1209" s="1134" t="s">
        <v>1937</v>
      </c>
      <c r="F1209" s="1022">
        <v>1000000</v>
      </c>
      <c r="G1209" s="1022">
        <f>F1209*C1209</f>
        <v>4000000</v>
      </c>
      <c r="H1209" s="1007"/>
    </row>
    <row r="1210" spans="1:16" ht="18">
      <c r="A1210" s="1023">
        <v>2</v>
      </c>
      <c r="B1210" s="1021" t="s">
        <v>1947</v>
      </c>
      <c r="C1210" s="1010">
        <v>2</v>
      </c>
      <c r="D1210" s="1011" t="s">
        <v>44</v>
      </c>
      <c r="E1210" s="1134" t="s">
        <v>1937</v>
      </c>
      <c r="F1210" s="1022">
        <v>750000</v>
      </c>
      <c r="G1210" s="1022">
        <f>F1210*C1210</f>
        <v>1500000</v>
      </c>
      <c r="H1210" s="1007"/>
    </row>
    <row r="1211" spans="1:16" ht="18">
      <c r="A1211" s="1023">
        <v>3</v>
      </c>
      <c r="B1211" s="1021" t="s">
        <v>1948</v>
      </c>
      <c r="C1211" s="1010">
        <v>2</v>
      </c>
      <c r="D1211" s="1011" t="s">
        <v>44</v>
      </c>
      <c r="E1211" s="1134" t="s">
        <v>1937</v>
      </c>
      <c r="F1211" s="1022">
        <v>1500000</v>
      </c>
      <c r="G1211" s="1022">
        <f>F1211*C1211</f>
        <v>3000000</v>
      </c>
      <c r="H1211" s="1007"/>
    </row>
    <row r="1212" spans="1:16" ht="18">
      <c r="A1212" s="1023"/>
      <c r="B1212" s="1024"/>
      <c r="C1212" s="1022"/>
      <c r="D1212" s="1011"/>
      <c r="E1212" s="1011"/>
      <c r="F1212" s="1022"/>
      <c r="G1212" s="1022"/>
      <c r="H1212" s="1007"/>
    </row>
    <row r="1213" spans="1:16" ht="18">
      <c r="A1213" s="1025"/>
      <c r="B1213" s="1026"/>
      <c r="C1213" s="1027"/>
      <c r="D1213" s="1028"/>
      <c r="E1213" s="1029"/>
      <c r="F1213" s="1029" t="s">
        <v>25</v>
      </c>
      <c r="G1213" s="1030">
        <f>SUM(G1209:G1212)</f>
        <v>8500000</v>
      </c>
      <c r="H1213" s="1018"/>
    </row>
    <row r="1214" spans="1:16" ht="18">
      <c r="A1214" s="1031"/>
      <c r="B1214" s="1032"/>
      <c r="C1214" s="1033"/>
      <c r="D1214" s="1033"/>
      <c r="E1214" s="1034"/>
      <c r="F1214" s="1035" t="s">
        <v>1151</v>
      </c>
      <c r="G1214" s="1036">
        <f>G1213/10</f>
        <v>850000</v>
      </c>
      <c r="H1214" s="1037"/>
    </row>
    <row r="1215" spans="1:16" ht="18">
      <c r="A1215" s="1038"/>
      <c r="B1215" s="1039"/>
      <c r="C1215" s="1040"/>
      <c r="D1215" s="1040"/>
      <c r="E1215" s="1041"/>
      <c r="F1215" s="1042"/>
      <c r="G1215" s="1043"/>
      <c r="H1215" s="1044">
        <f>G1213+G1214</f>
        <v>9350000</v>
      </c>
    </row>
    <row r="1216" spans="1:16" ht="18">
      <c r="A1216" s="1031"/>
      <c r="B1216" s="1032"/>
      <c r="C1216" s="1033"/>
      <c r="D1216" s="1033"/>
      <c r="E1216" s="1034"/>
      <c r="F1216" s="1035"/>
      <c r="G1216" s="1045"/>
      <c r="H1216" s="1046"/>
    </row>
    <row r="1217" spans="1:8" ht="18">
      <c r="A1217" s="1047"/>
      <c r="B1217" s="1048"/>
      <c r="C1217" s="1048"/>
      <c r="D1217" s="1048"/>
      <c r="E1217" s="1048"/>
      <c r="F1217" s="1049"/>
      <c r="G1217" s="1050" t="s">
        <v>28</v>
      </c>
      <c r="H1217" s="1006">
        <f>H1215+H1207</f>
        <v>23078000</v>
      </c>
    </row>
    <row r="1218" spans="1:8" ht="18">
      <c r="A1218" s="1051"/>
      <c r="B1218" s="1052"/>
      <c r="C1218" s="1053"/>
      <c r="D1218" s="1053"/>
      <c r="E1218" s="1053"/>
      <c r="F1218" s="1054"/>
      <c r="G1218" s="1055" t="s">
        <v>30</v>
      </c>
      <c r="H1218" s="1056">
        <f>ROUND(H1217,-3)</f>
        <v>23078000</v>
      </c>
    </row>
    <row r="1219" spans="1:8" ht="18">
      <c r="A1219" s="1138"/>
      <c r="B1219" s="1138"/>
      <c r="C1219" s="1138"/>
      <c r="D1219" s="1138"/>
      <c r="E1219" s="1138"/>
      <c r="F1219" s="1138"/>
      <c r="G1219" s="1138"/>
      <c r="H1219" s="1139"/>
    </row>
    <row r="1220" spans="1:8" ht="18">
      <c r="A1220" s="768" t="s">
        <v>1150</v>
      </c>
      <c r="B1220" s="1138"/>
      <c r="C1220" s="1138"/>
      <c r="D1220" s="1138"/>
      <c r="E1220" s="1138"/>
      <c r="F1220" s="1138"/>
      <c r="G1220" s="1138"/>
      <c r="H1220" s="1139"/>
    </row>
    <row r="1221" spans="1:8" ht="18">
      <c r="A1221" s="1138"/>
      <c r="B1221" s="965" t="s">
        <v>2144</v>
      </c>
      <c r="C1221" s="1138"/>
      <c r="D1221" s="1138"/>
      <c r="E1221" s="1138"/>
      <c r="F1221" s="1138"/>
      <c r="G1221" s="1138"/>
      <c r="H1221" s="1139"/>
    </row>
    <row r="1222" spans="1:8" ht="18">
      <c r="A1222" s="1138"/>
      <c r="B1222" s="1138"/>
      <c r="C1222" s="1138"/>
      <c r="D1222" s="1138"/>
      <c r="E1222" s="1138"/>
      <c r="F1222" s="1138"/>
      <c r="G1222" s="1138"/>
      <c r="H1222" s="1139"/>
    </row>
    <row r="1223" spans="1:8" ht="18">
      <c r="A1223" s="958"/>
      <c r="B1223" s="958"/>
      <c r="C1223" s="958"/>
      <c r="D1223" s="958"/>
      <c r="E1223" s="958"/>
      <c r="F1223" s="958"/>
      <c r="G1223" s="1530" t="s">
        <v>2142</v>
      </c>
      <c r="H1223" s="1530"/>
    </row>
    <row r="1224" spans="1:8" ht="18">
      <c r="A1224" s="1530" t="s">
        <v>31</v>
      </c>
      <c r="B1224" s="1530"/>
      <c r="C1224" s="1530" t="s">
        <v>32</v>
      </c>
      <c r="D1224" s="1530"/>
      <c r="E1224" s="1530"/>
      <c r="F1224" s="958"/>
      <c r="G1224" s="1530" t="s">
        <v>33</v>
      </c>
      <c r="H1224" s="1530"/>
    </row>
    <row r="1225" spans="1:8" ht="18">
      <c r="A1225" s="958"/>
      <c r="B1225" s="958"/>
      <c r="C1225" s="958"/>
      <c r="D1225" s="958"/>
      <c r="E1225" s="958"/>
      <c r="F1225" s="958"/>
      <c r="G1225" s="958"/>
      <c r="H1225" s="958"/>
    </row>
    <row r="1226" spans="1:8" ht="18">
      <c r="A1226" s="958"/>
      <c r="B1226" s="958"/>
      <c r="C1226" s="958"/>
      <c r="D1226" s="958"/>
      <c r="E1226" s="958"/>
      <c r="F1226" s="958"/>
      <c r="G1226" s="958"/>
      <c r="H1226" s="958"/>
    </row>
    <row r="1227" spans="1:8" ht="18">
      <c r="A1227" s="958"/>
      <c r="B1227" s="958"/>
      <c r="C1227" s="958"/>
      <c r="D1227" s="958"/>
      <c r="E1227" s="958"/>
      <c r="F1227" s="958"/>
      <c r="G1227" s="958"/>
      <c r="H1227" s="958"/>
    </row>
    <row r="1228" spans="1:8" ht="18">
      <c r="A1228" s="1529" t="s">
        <v>1622</v>
      </c>
      <c r="B1228" s="1529"/>
      <c r="C1228" s="1529" t="s">
        <v>1603</v>
      </c>
      <c r="D1228" s="1529"/>
      <c r="E1228" s="1529"/>
      <c r="F1228" s="958"/>
      <c r="G1228" s="1529" t="s">
        <v>1778</v>
      </c>
      <c r="H1228" s="1529"/>
    </row>
    <row r="1229" spans="1:8" ht="18">
      <c r="A1229" s="1530" t="s">
        <v>37</v>
      </c>
      <c r="B1229" s="1530"/>
      <c r="C1229" s="1530" t="s">
        <v>1604</v>
      </c>
      <c r="D1229" s="1530"/>
      <c r="E1229" s="1530"/>
      <c r="F1229" s="958"/>
      <c r="G1229" s="1530" t="s">
        <v>39</v>
      </c>
      <c r="H1229" s="1530"/>
    </row>
    <row r="1230" spans="1:8" ht="18">
      <c r="A1230" s="1140"/>
      <c r="B1230" s="1140"/>
      <c r="C1230" s="1140"/>
      <c r="D1230" s="1140"/>
      <c r="E1230" s="1140"/>
      <c r="F1230" s="1140"/>
      <c r="G1230" s="1140"/>
      <c r="H1230" s="1140"/>
    </row>
    <row r="1253" spans="1:8" ht="28.8">
      <c r="A1253" s="597"/>
      <c r="B1253" s="597"/>
      <c r="C1253" s="1513" t="s">
        <v>235</v>
      </c>
      <c r="D1253" s="1513"/>
      <c r="E1253" s="1513"/>
      <c r="F1253" s="1513"/>
      <c r="G1253" s="1513"/>
      <c r="H1253" s="1513"/>
    </row>
    <row r="1254" spans="1:8" ht="28.8">
      <c r="A1254" s="597"/>
      <c r="B1254" s="597"/>
      <c r="C1254" s="1541" t="s">
        <v>310</v>
      </c>
      <c r="D1254" s="1541"/>
      <c r="E1254" s="1541"/>
      <c r="F1254" s="1541"/>
      <c r="G1254" s="1541"/>
      <c r="H1254" s="1541"/>
    </row>
    <row r="1255" spans="1:8" ht="23.4">
      <c r="A1255" s="830"/>
      <c r="B1255" s="830"/>
      <c r="C1255" s="1537" t="s">
        <v>1399</v>
      </c>
      <c r="D1255" s="1537"/>
      <c r="E1255" s="1537"/>
      <c r="F1255" s="1537"/>
      <c r="G1255" s="1537"/>
      <c r="H1255" s="1537"/>
    </row>
    <row r="1256" spans="1:8" ht="15.6">
      <c r="A1256" s="769"/>
      <c r="B1256" s="769"/>
      <c r="C1256" s="769"/>
      <c r="D1256" s="769"/>
      <c r="E1256" s="769"/>
      <c r="F1256" s="769"/>
      <c r="G1256" s="769"/>
      <c r="H1256" s="769"/>
    </row>
    <row r="1257" spans="1:8" ht="15.6">
      <c r="A1257" s="769"/>
      <c r="B1257" s="769"/>
      <c r="C1257" s="769"/>
      <c r="D1257" s="769"/>
      <c r="E1257" s="769"/>
      <c r="F1257" s="769"/>
      <c r="G1257" s="769"/>
      <c r="H1257" s="769"/>
    </row>
    <row r="1258" spans="1:8" ht="15.6">
      <c r="A1258" s="1516" t="s">
        <v>3</v>
      </c>
      <c r="B1258" s="1516" t="s">
        <v>4</v>
      </c>
      <c r="C1258" s="1516" t="s">
        <v>5</v>
      </c>
      <c r="D1258" s="1516" t="s">
        <v>6</v>
      </c>
      <c r="E1258" s="1516" t="s">
        <v>7</v>
      </c>
      <c r="F1258" s="770" t="s">
        <v>8</v>
      </c>
      <c r="G1258" s="770" t="s">
        <v>9</v>
      </c>
      <c r="H1258" s="770" t="s">
        <v>10</v>
      </c>
    </row>
    <row r="1259" spans="1:8" ht="15.6">
      <c r="A1259" s="1517"/>
      <c r="B1259" s="1517"/>
      <c r="C1259" s="1517"/>
      <c r="D1259" s="1517"/>
      <c r="E1259" s="1517"/>
      <c r="F1259" s="771" t="s">
        <v>11</v>
      </c>
      <c r="G1259" s="771" t="s">
        <v>11</v>
      </c>
      <c r="H1259" s="771" t="s">
        <v>11</v>
      </c>
    </row>
    <row r="1260" spans="1:8" ht="15.6">
      <c r="A1260" s="770" t="s">
        <v>12</v>
      </c>
      <c r="B1260" s="772" t="s">
        <v>364</v>
      </c>
      <c r="C1260" s="773"/>
      <c r="D1260" s="774"/>
      <c r="E1260" s="774"/>
      <c r="F1260" s="774"/>
      <c r="G1260" s="775"/>
      <c r="H1260" s="776"/>
    </row>
    <row r="1261" spans="1:8" ht="15.6">
      <c r="A1261" s="786"/>
      <c r="B1261" s="969" t="s">
        <v>1541</v>
      </c>
      <c r="C1261" s="779">
        <v>6</v>
      </c>
      <c r="D1261" s="780" t="s">
        <v>132</v>
      </c>
      <c r="E1261" s="780" t="s">
        <v>197</v>
      </c>
      <c r="F1261" s="791" t="s">
        <v>126</v>
      </c>
      <c r="G1261" s="791" t="s">
        <v>126</v>
      </c>
      <c r="H1261" s="971"/>
    </row>
    <row r="1262" spans="1:8" ht="15.6">
      <c r="A1262" s="786"/>
      <c r="B1262" s="969" t="s">
        <v>1542</v>
      </c>
      <c r="C1262" s="779">
        <v>3</v>
      </c>
      <c r="D1262" s="780" t="s">
        <v>132</v>
      </c>
      <c r="E1262" s="780" t="s">
        <v>197</v>
      </c>
      <c r="F1262" s="780" t="s">
        <v>126</v>
      </c>
      <c r="G1262" s="986" t="s">
        <v>126</v>
      </c>
      <c r="H1262" s="971"/>
    </row>
    <row r="1263" spans="1:8" ht="15.6">
      <c r="A1263" s="786"/>
      <c r="B1263" s="969" t="s">
        <v>1543</v>
      </c>
      <c r="C1263" s="779">
        <v>2</v>
      </c>
      <c r="D1263" s="780" t="s">
        <v>44</v>
      </c>
      <c r="E1263" s="780" t="s">
        <v>197</v>
      </c>
      <c r="F1263" s="791" t="s">
        <v>126</v>
      </c>
      <c r="G1263" s="791" t="s">
        <v>126</v>
      </c>
      <c r="H1263" s="971"/>
    </row>
    <row r="1264" spans="1:8" ht="15.6">
      <c r="A1264" s="786"/>
      <c r="B1264" s="969" t="s">
        <v>1544</v>
      </c>
      <c r="C1264" s="779">
        <v>1</v>
      </c>
      <c r="D1264" s="780" t="s">
        <v>44</v>
      </c>
      <c r="E1264" s="780" t="s">
        <v>197</v>
      </c>
      <c r="F1264" s="780" t="s">
        <v>126</v>
      </c>
      <c r="G1264" s="986" t="s">
        <v>126</v>
      </c>
      <c r="H1264" s="971"/>
    </row>
    <row r="1265" spans="1:12" ht="15.6">
      <c r="A1265" s="786"/>
      <c r="B1265" s="969" t="s">
        <v>1545</v>
      </c>
      <c r="C1265" s="779">
        <v>2</v>
      </c>
      <c r="D1265" s="780" t="s">
        <v>44</v>
      </c>
      <c r="E1265" s="780" t="s">
        <v>197</v>
      </c>
      <c r="F1265" s="791" t="s">
        <v>126</v>
      </c>
      <c r="G1265" s="791" t="s">
        <v>126</v>
      </c>
      <c r="H1265" s="971"/>
    </row>
    <row r="1266" spans="1:12" ht="15.6">
      <c r="A1266" s="786"/>
      <c r="B1266" s="969" t="s">
        <v>1546</v>
      </c>
      <c r="C1266" s="779">
        <v>1</v>
      </c>
      <c r="D1266" s="780" t="s">
        <v>44</v>
      </c>
      <c r="E1266" s="780" t="s">
        <v>197</v>
      </c>
      <c r="F1266" s="791" t="s">
        <v>126</v>
      </c>
      <c r="G1266" s="791" t="s">
        <v>126</v>
      </c>
      <c r="H1266" s="971"/>
    </row>
    <row r="1267" spans="1:12" ht="15.6">
      <c r="A1267" s="786"/>
      <c r="B1267" s="969" t="s">
        <v>1547</v>
      </c>
      <c r="C1267" s="779">
        <v>3</v>
      </c>
      <c r="D1267" s="780" t="s">
        <v>44</v>
      </c>
      <c r="E1267" s="780" t="s">
        <v>16</v>
      </c>
      <c r="F1267" s="788">
        <v>75000</v>
      </c>
      <c r="G1267" s="788">
        <f>F1267*C1267</f>
        <v>225000</v>
      </c>
      <c r="H1267" s="971"/>
    </row>
    <row r="1268" spans="1:12" ht="15.6">
      <c r="A1268" s="786"/>
      <c r="B1268" s="969" t="s">
        <v>1548</v>
      </c>
      <c r="C1268" s="779">
        <v>1</v>
      </c>
      <c r="D1268" s="780" t="s">
        <v>44</v>
      </c>
      <c r="E1268" s="780" t="s">
        <v>51</v>
      </c>
      <c r="F1268" s="788">
        <v>150000</v>
      </c>
      <c r="G1268" s="788">
        <f>F1268*C1268</f>
        <v>150000</v>
      </c>
      <c r="H1268" s="971"/>
    </row>
    <row r="1269" spans="1:12" ht="15.6">
      <c r="A1269" s="814"/>
      <c r="B1269" s="806"/>
      <c r="C1269" s="815"/>
      <c r="D1269" s="816"/>
      <c r="E1269" s="816"/>
      <c r="F1269" s="817"/>
      <c r="G1269" s="817"/>
      <c r="H1269" s="818">
        <f>SUM(G1260:G1269)</f>
        <v>375000</v>
      </c>
      <c r="L1269" s="1">
        <f>3.14*250</f>
        <v>785</v>
      </c>
    </row>
    <row r="1270" spans="1:12" ht="15.6">
      <c r="A1270" s="786" t="s">
        <v>18</v>
      </c>
      <c r="B1270" s="787" t="s">
        <v>19</v>
      </c>
      <c r="C1270" s="782"/>
      <c r="D1270" s="780"/>
      <c r="E1270" s="780"/>
      <c r="F1270" s="781"/>
      <c r="G1270" s="781"/>
      <c r="H1270" s="1133"/>
      <c r="L1270" s="1">
        <f>1.5*3</f>
        <v>4.5</v>
      </c>
    </row>
    <row r="1271" spans="1:12" ht="15.6">
      <c r="A1271" s="780">
        <v>1</v>
      </c>
      <c r="B1271" s="787" t="s">
        <v>1925</v>
      </c>
      <c r="C1271" s="782"/>
      <c r="D1271" s="780"/>
      <c r="E1271" s="780"/>
      <c r="F1271" s="781"/>
      <c r="G1271" s="781"/>
      <c r="H1271" s="1133"/>
      <c r="L1271" s="1">
        <f>L1269*L1270</f>
        <v>3532.5</v>
      </c>
    </row>
    <row r="1272" spans="1:12" ht="15.6">
      <c r="A1272" s="777"/>
      <c r="B1272" s="581" t="s">
        <v>60</v>
      </c>
      <c r="C1272" s="59">
        <v>2</v>
      </c>
      <c r="D1272" s="56" t="s">
        <v>61</v>
      </c>
      <c r="E1272" s="56" t="s">
        <v>16</v>
      </c>
      <c r="F1272" s="60">
        <v>3157300</v>
      </c>
      <c r="G1272" s="60">
        <f>C1272*F1272</f>
        <v>6314600</v>
      </c>
      <c r="H1272" s="1133"/>
    </row>
    <row r="1273" spans="1:12" ht="15.6">
      <c r="A1273" s="777"/>
      <c r="B1273" s="778"/>
      <c r="C1273" s="782"/>
      <c r="D1273" s="780"/>
      <c r="E1273" s="780"/>
      <c r="F1273" s="781"/>
      <c r="G1273" s="781"/>
      <c r="H1273" s="1133"/>
    </row>
    <row r="1274" spans="1:12" ht="15.6">
      <c r="A1274" s="786">
        <v>2</v>
      </c>
      <c r="B1274" s="787" t="s">
        <v>1926</v>
      </c>
      <c r="C1274" s="782"/>
      <c r="D1274" s="780"/>
      <c r="E1274" s="780"/>
      <c r="F1274" s="778"/>
      <c r="G1274" s="788"/>
      <c r="H1274" s="789"/>
    </row>
    <row r="1275" spans="1:12" ht="15.6">
      <c r="A1275" s="790"/>
      <c r="B1275" s="778" t="s">
        <v>1549</v>
      </c>
      <c r="C1275" s="779"/>
      <c r="D1275" s="791"/>
      <c r="E1275" s="780"/>
      <c r="F1275" s="789"/>
      <c r="G1275" s="788"/>
      <c r="H1275" s="789"/>
    </row>
    <row r="1276" spans="1:12" ht="15.6">
      <c r="A1276" s="790"/>
      <c r="B1276" s="969" t="s">
        <v>1550</v>
      </c>
      <c r="C1276" s="779">
        <v>1</v>
      </c>
      <c r="D1276" s="780" t="s">
        <v>69</v>
      </c>
      <c r="E1276" s="780" t="s">
        <v>51</v>
      </c>
      <c r="F1276" s="788">
        <v>500000</v>
      </c>
      <c r="G1276" s="788">
        <f t="shared" ref="G1276:G1281" si="5">F1276*C1276</f>
        <v>500000</v>
      </c>
      <c r="H1276" s="789"/>
    </row>
    <row r="1277" spans="1:12" ht="15.6">
      <c r="A1277" s="790"/>
      <c r="B1277" s="969" t="s">
        <v>1551</v>
      </c>
      <c r="C1277" s="779">
        <v>1</v>
      </c>
      <c r="D1277" s="780" t="s">
        <v>69</v>
      </c>
      <c r="E1277" s="780" t="s">
        <v>51</v>
      </c>
      <c r="F1277" s="788">
        <v>250000</v>
      </c>
      <c r="G1277" s="788">
        <f t="shared" si="5"/>
        <v>250000</v>
      </c>
      <c r="H1277" s="789"/>
    </row>
    <row r="1278" spans="1:12" ht="15.6">
      <c r="A1278" s="790"/>
      <c r="B1278" s="969" t="s">
        <v>1552</v>
      </c>
      <c r="C1278" s="779">
        <v>1</v>
      </c>
      <c r="D1278" s="780" t="s">
        <v>21</v>
      </c>
      <c r="E1278" s="780" t="s">
        <v>51</v>
      </c>
      <c r="F1278" s="788">
        <v>250000</v>
      </c>
      <c r="G1278" s="788">
        <f t="shared" si="5"/>
        <v>250000</v>
      </c>
      <c r="H1278" s="789"/>
    </row>
    <row r="1279" spans="1:12" ht="15.6">
      <c r="A1279" s="790"/>
      <c r="B1279" s="969" t="s">
        <v>1553</v>
      </c>
      <c r="C1279" s="779">
        <v>1</v>
      </c>
      <c r="D1279" s="780" t="s">
        <v>21</v>
      </c>
      <c r="E1279" s="780" t="s">
        <v>51</v>
      </c>
      <c r="F1279" s="788">
        <v>250000</v>
      </c>
      <c r="G1279" s="788">
        <f t="shared" si="5"/>
        <v>250000</v>
      </c>
      <c r="H1279" s="789"/>
    </row>
    <row r="1280" spans="1:12" ht="15.6">
      <c r="A1280" s="790"/>
      <c r="B1280" s="969" t="s">
        <v>1759</v>
      </c>
      <c r="C1280" s="779">
        <v>1</v>
      </c>
      <c r="D1280" s="780" t="s">
        <v>21</v>
      </c>
      <c r="E1280" s="780" t="s">
        <v>51</v>
      </c>
      <c r="F1280" s="788">
        <v>500000</v>
      </c>
      <c r="G1280" s="788">
        <f t="shared" si="5"/>
        <v>500000</v>
      </c>
      <c r="H1280" s="789"/>
    </row>
    <row r="1281" spans="1:8" ht="15.6">
      <c r="A1281" s="790"/>
      <c r="B1281" s="969" t="s">
        <v>1760</v>
      </c>
      <c r="C1281" s="779">
        <v>1</v>
      </c>
      <c r="D1281" s="780" t="s">
        <v>21</v>
      </c>
      <c r="E1281" s="780" t="s">
        <v>51</v>
      </c>
      <c r="F1281" s="788">
        <v>600000</v>
      </c>
      <c r="G1281" s="788">
        <f t="shared" si="5"/>
        <v>600000</v>
      </c>
      <c r="H1281" s="789"/>
    </row>
    <row r="1282" spans="1:8" ht="15.6">
      <c r="A1282" s="790"/>
      <c r="B1282" s="969"/>
      <c r="C1282" s="779"/>
      <c r="D1282" s="780"/>
      <c r="E1282" s="780"/>
      <c r="F1282" s="788"/>
      <c r="G1282" s="788"/>
      <c r="H1282" s="789"/>
    </row>
    <row r="1283" spans="1:8" ht="15.6">
      <c r="A1283" s="790"/>
      <c r="B1283" s="778" t="s">
        <v>1626</v>
      </c>
      <c r="C1283" s="779"/>
      <c r="D1283" s="780"/>
      <c r="E1283" s="780"/>
      <c r="F1283" s="788"/>
      <c r="G1283" s="788"/>
      <c r="H1283" s="789"/>
    </row>
    <row r="1284" spans="1:8" ht="15.6">
      <c r="A1284" s="790"/>
      <c r="B1284" s="969" t="s">
        <v>1922</v>
      </c>
      <c r="C1284" s="779">
        <v>237.6</v>
      </c>
      <c r="D1284" s="780" t="s">
        <v>81</v>
      </c>
      <c r="E1284" s="780" t="s">
        <v>82</v>
      </c>
      <c r="F1284" s="788">
        <v>4786.5</v>
      </c>
      <c r="G1284" s="788">
        <f>F1284*C1284</f>
        <v>1137272.3999999999</v>
      </c>
      <c r="H1284" s="789"/>
    </row>
    <row r="1285" spans="1:8" ht="15.6">
      <c r="A1285" s="790"/>
      <c r="B1285" s="969" t="s">
        <v>1558</v>
      </c>
      <c r="C1285" s="779">
        <v>468</v>
      </c>
      <c r="D1285" s="780" t="s">
        <v>84</v>
      </c>
      <c r="E1285" s="780" t="s">
        <v>82</v>
      </c>
      <c r="F1285" s="788">
        <v>3200.16</v>
      </c>
      <c r="G1285" s="788">
        <f>F1285*C1285</f>
        <v>1497674.88</v>
      </c>
      <c r="H1285" s="789"/>
    </row>
    <row r="1286" spans="1:8" ht="15.6">
      <c r="A1286" s="790"/>
      <c r="B1286" s="969" t="s">
        <v>1559</v>
      </c>
      <c r="C1286" s="779">
        <v>396</v>
      </c>
      <c r="D1286" s="780" t="s">
        <v>84</v>
      </c>
      <c r="E1286" s="780" t="s">
        <v>82</v>
      </c>
      <c r="F1286" s="788">
        <v>3200.16</v>
      </c>
      <c r="G1286" s="788">
        <f>F1286*C1286</f>
        <v>1267263.3599999999</v>
      </c>
      <c r="H1286" s="789"/>
    </row>
    <row r="1287" spans="1:8" ht="15.6">
      <c r="A1287" s="790"/>
      <c r="B1287" s="969" t="s">
        <v>1921</v>
      </c>
      <c r="C1287" s="997">
        <v>72.599999999999994</v>
      </c>
      <c r="D1287" s="780" t="s">
        <v>81</v>
      </c>
      <c r="E1287" s="780" t="s">
        <v>16</v>
      </c>
      <c r="F1287" s="788">
        <v>31050</v>
      </c>
      <c r="G1287" s="788">
        <f>F1287*C1287</f>
        <v>2254230</v>
      </c>
      <c r="H1287" s="789"/>
    </row>
    <row r="1288" spans="1:8" ht="15.6">
      <c r="A1288" s="790"/>
      <c r="B1288" s="969"/>
      <c r="C1288" s="779"/>
      <c r="D1288" s="780"/>
      <c r="E1288" s="780"/>
      <c r="F1288" s="788"/>
      <c r="G1288" s="788"/>
      <c r="H1288" s="789"/>
    </row>
    <row r="1289" spans="1:8" ht="15.6">
      <c r="A1289" s="790"/>
      <c r="B1289" s="778" t="s">
        <v>1628</v>
      </c>
      <c r="C1289" s="779">
        <v>1</v>
      </c>
      <c r="D1289" s="780" t="s">
        <v>69</v>
      </c>
      <c r="E1289" s="780" t="s">
        <v>51</v>
      </c>
      <c r="F1289" s="788">
        <v>250000</v>
      </c>
      <c r="G1289" s="788">
        <f>F1289*C1289</f>
        <v>250000</v>
      </c>
      <c r="H1289" s="789"/>
    </row>
    <row r="1290" spans="1:8" ht="15.6">
      <c r="A1290" s="790"/>
      <c r="B1290" s="777"/>
      <c r="C1290" s="788"/>
      <c r="D1290" s="780"/>
      <c r="E1290" s="780"/>
      <c r="F1290" s="788"/>
      <c r="G1290" s="788"/>
      <c r="H1290" s="789"/>
    </row>
    <row r="1291" spans="1:8" ht="15.6">
      <c r="A1291" s="793"/>
      <c r="B1291" s="783"/>
      <c r="C1291" s="794"/>
      <c r="D1291" s="795"/>
      <c r="E1291" s="811"/>
      <c r="F1291" s="811" t="s">
        <v>25</v>
      </c>
      <c r="G1291" s="813">
        <f>SUM(G1272:G1290)</f>
        <v>15071040.640000001</v>
      </c>
      <c r="H1291" s="810"/>
    </row>
    <row r="1292" spans="1:8" ht="15.6">
      <c r="A1292" s="820"/>
      <c r="B1292" s="821"/>
      <c r="C1292" s="822"/>
      <c r="D1292" s="822"/>
      <c r="E1292" s="823"/>
      <c r="F1292" s="819" t="s">
        <v>1151</v>
      </c>
      <c r="G1292" s="964">
        <f>G1291/10</f>
        <v>1507104.064</v>
      </c>
      <c r="H1292" s="825"/>
    </row>
    <row r="1293" spans="1:8" ht="15.6">
      <c r="A1293" s="796"/>
      <c r="B1293" s="797"/>
      <c r="C1293" s="784"/>
      <c r="D1293" s="784"/>
      <c r="E1293" s="785"/>
      <c r="F1293" s="812"/>
      <c r="G1293" s="798"/>
      <c r="H1293" s="826">
        <f>G1291+G1292</f>
        <v>16578144.704</v>
      </c>
    </row>
    <row r="1294" spans="1:8" ht="15.6">
      <c r="A1294" s="820"/>
      <c r="B1294" s="821"/>
      <c r="C1294" s="822"/>
      <c r="D1294" s="822"/>
      <c r="E1294" s="823"/>
      <c r="F1294" s="819"/>
      <c r="G1294" s="824"/>
      <c r="H1294" s="827"/>
    </row>
    <row r="1295" spans="1:8" ht="15.6">
      <c r="A1295" s="799"/>
      <c r="B1295" s="800"/>
      <c r="C1295" s="800"/>
      <c r="D1295" s="800"/>
      <c r="E1295" s="800"/>
      <c r="F1295" s="801"/>
      <c r="G1295" s="828" t="s">
        <v>28</v>
      </c>
      <c r="H1295" s="775">
        <f>H1293+H1269</f>
        <v>16953144.704</v>
      </c>
    </row>
    <row r="1296" spans="1:8" ht="15.6">
      <c r="A1296" s="802"/>
      <c r="B1296" s="803"/>
      <c r="C1296" s="804"/>
      <c r="D1296" s="804"/>
      <c r="E1296" s="804"/>
      <c r="F1296" s="805"/>
      <c r="G1296" s="829" t="s">
        <v>30</v>
      </c>
      <c r="H1296" s="807">
        <f>ROUND(H1295,-3)</f>
        <v>16953000</v>
      </c>
    </row>
    <row r="1297" spans="1:8" ht="15.6">
      <c r="A1297" s="49"/>
      <c r="B1297" s="49"/>
      <c r="C1297" s="49"/>
      <c r="D1297" s="49"/>
      <c r="E1297" s="49"/>
      <c r="F1297" s="49"/>
      <c r="G1297" s="49"/>
      <c r="H1297" s="50"/>
    </row>
    <row r="1298" spans="1:8" ht="18">
      <c r="A1298" s="768" t="s">
        <v>1150</v>
      </c>
      <c r="B1298" s="49"/>
      <c r="C1298" s="49"/>
      <c r="D1298" s="49"/>
      <c r="E1298" s="49"/>
      <c r="F1298" s="49"/>
      <c r="G1298" s="49"/>
      <c r="H1298" s="50"/>
    </row>
    <row r="1299" spans="1:8" ht="17.399999999999999">
      <c r="A1299" s="49"/>
      <c r="B1299" s="965" t="s">
        <v>1981</v>
      </c>
      <c r="C1299" s="49"/>
      <c r="D1299" s="49"/>
      <c r="E1299" s="49"/>
      <c r="F1299" s="49"/>
      <c r="G1299" s="49"/>
      <c r="H1299" s="50"/>
    </row>
    <row r="1300" spans="1:8" ht="15.6">
      <c r="A1300" s="49"/>
      <c r="B1300" s="49"/>
      <c r="C1300" s="49"/>
      <c r="D1300" s="49"/>
      <c r="E1300" s="49"/>
      <c r="F1300" s="49"/>
      <c r="G1300" s="49"/>
      <c r="H1300" s="50"/>
    </row>
    <row r="1301" spans="1:8" ht="15.6">
      <c r="A1301" s="51"/>
      <c r="B1301" s="51"/>
      <c r="C1301" s="51"/>
      <c r="D1301" s="51"/>
      <c r="E1301" s="51"/>
      <c r="F1301" s="51"/>
      <c r="G1301" s="1509" t="s">
        <v>1977</v>
      </c>
      <c r="H1301" s="1509"/>
    </row>
    <row r="1302" spans="1:8" ht="15.6">
      <c r="A1302" s="1509" t="s">
        <v>31</v>
      </c>
      <c r="B1302" s="1509"/>
      <c r="C1302" s="1509" t="s">
        <v>32</v>
      </c>
      <c r="D1302" s="1509"/>
      <c r="E1302" s="1509"/>
      <c r="F1302" s="51"/>
      <c r="G1302" s="1509" t="s">
        <v>33</v>
      </c>
      <c r="H1302" s="1509"/>
    </row>
    <row r="1303" spans="1:8" ht="15.6">
      <c r="A1303" s="51"/>
      <c r="B1303" s="51"/>
      <c r="C1303" s="51"/>
      <c r="D1303" s="51"/>
      <c r="E1303" s="51"/>
      <c r="F1303" s="51"/>
      <c r="G1303" s="51"/>
      <c r="H1303" s="51"/>
    </row>
    <row r="1304" spans="1:8" ht="15.6">
      <c r="A1304" s="51"/>
      <c r="B1304" s="51"/>
      <c r="C1304" s="51"/>
      <c r="D1304" s="51"/>
      <c r="E1304" s="51"/>
      <c r="F1304" s="51"/>
      <c r="G1304" s="51"/>
      <c r="H1304" s="51"/>
    </row>
    <row r="1305" spans="1:8" ht="15.6">
      <c r="A1305" s="51"/>
      <c r="B1305" s="51"/>
      <c r="C1305" s="51"/>
      <c r="D1305" s="51"/>
      <c r="E1305" s="51"/>
      <c r="F1305" s="51"/>
      <c r="G1305" s="51"/>
      <c r="H1305" s="51"/>
    </row>
    <row r="1306" spans="1:8" ht="15.6">
      <c r="A1306" s="1512" t="s">
        <v>1622</v>
      </c>
      <c r="B1306" s="1512"/>
      <c r="C1306" s="1512" t="s">
        <v>1603</v>
      </c>
      <c r="D1306" s="1512"/>
      <c r="E1306" s="1512"/>
      <c r="F1306" s="51"/>
      <c r="G1306" s="1512" t="s">
        <v>1661</v>
      </c>
      <c r="H1306" s="1512"/>
    </row>
    <row r="1307" spans="1:8" ht="15.6">
      <c r="A1307" s="1509" t="s">
        <v>37</v>
      </c>
      <c r="B1307" s="1509"/>
      <c r="C1307" s="1509" t="s">
        <v>1604</v>
      </c>
      <c r="D1307" s="1509"/>
      <c r="E1307" s="1509"/>
      <c r="F1307" s="51"/>
      <c r="G1307" s="1509" t="s">
        <v>39</v>
      </c>
      <c r="H1307" s="1509"/>
    </row>
    <row r="1331" spans="1:8" ht="28.8">
      <c r="A1331" s="597"/>
      <c r="B1331" s="597"/>
      <c r="C1331" s="1513" t="s">
        <v>1913</v>
      </c>
      <c r="D1331" s="1513"/>
      <c r="E1331" s="1513"/>
      <c r="F1331" s="1513"/>
      <c r="G1331" s="1513"/>
      <c r="H1331" s="1513"/>
    </row>
    <row r="1332" spans="1:8" ht="28.8">
      <c r="A1332" s="597"/>
      <c r="B1332" s="597"/>
      <c r="C1332" s="1541" t="s">
        <v>1923</v>
      </c>
      <c r="D1332" s="1541"/>
      <c r="E1332" s="1541"/>
      <c r="F1332" s="1541"/>
      <c r="G1332" s="1541"/>
      <c r="H1332" s="1541"/>
    </row>
    <row r="1333" spans="1:8" ht="23.4">
      <c r="A1333" s="830"/>
      <c r="B1333" s="830"/>
      <c r="C1333" s="1541" t="s">
        <v>1594</v>
      </c>
      <c r="D1333" s="1541"/>
      <c r="E1333" s="1541"/>
      <c r="F1333" s="1541"/>
      <c r="G1333" s="1541"/>
      <c r="H1333" s="1541"/>
    </row>
    <row r="1334" spans="1:8" ht="15.6">
      <c r="A1334" s="769"/>
      <c r="B1334" s="769"/>
      <c r="C1334" s="769"/>
      <c r="D1334" s="769"/>
      <c r="E1334" s="769"/>
      <c r="F1334" s="769"/>
      <c r="G1334" s="769"/>
      <c r="H1334" s="769"/>
    </row>
    <row r="1335" spans="1:8" ht="15.6">
      <c r="A1335" s="769"/>
      <c r="B1335" s="769"/>
      <c r="C1335" s="769"/>
      <c r="D1335" s="769"/>
      <c r="E1335" s="769"/>
      <c r="F1335" s="769"/>
      <c r="G1335" s="769"/>
      <c r="H1335" s="769"/>
    </row>
    <row r="1336" spans="1:8" ht="18">
      <c r="A1336" s="1531" t="s">
        <v>3</v>
      </c>
      <c r="B1336" s="1531" t="s">
        <v>4</v>
      </c>
      <c r="C1336" s="1531" t="s">
        <v>5</v>
      </c>
      <c r="D1336" s="1531" t="s">
        <v>6</v>
      </c>
      <c r="E1336" s="1531" t="s">
        <v>7</v>
      </c>
      <c r="F1336" s="1001" t="s">
        <v>8</v>
      </c>
      <c r="G1336" s="1001" t="s">
        <v>9</v>
      </c>
      <c r="H1336" s="1001" t="s">
        <v>10</v>
      </c>
    </row>
    <row r="1337" spans="1:8" ht="18">
      <c r="A1337" s="1532"/>
      <c r="B1337" s="1532"/>
      <c r="C1337" s="1532"/>
      <c r="D1337" s="1532"/>
      <c r="E1337" s="1532"/>
      <c r="F1337" s="1002" t="s">
        <v>11</v>
      </c>
      <c r="G1337" s="1002" t="s">
        <v>11</v>
      </c>
      <c r="H1337" s="1002" t="s">
        <v>11</v>
      </c>
    </row>
    <row r="1338" spans="1:8" ht="18">
      <c r="A1338" s="1001"/>
      <c r="B1338" s="1003"/>
      <c r="C1338" s="1004"/>
      <c r="D1338" s="1005"/>
      <c r="E1338" s="1005"/>
      <c r="F1338" s="1005"/>
      <c r="G1338" s="1006"/>
      <c r="H1338" s="1057"/>
    </row>
    <row r="1339" spans="1:8" ht="18">
      <c r="A1339" s="1008" t="s">
        <v>12</v>
      </c>
      <c r="B1339" s="1021" t="s">
        <v>13</v>
      </c>
      <c r="C1339" s="1010"/>
      <c r="D1339" s="1011"/>
      <c r="E1339" s="1011"/>
      <c r="F1339" s="1012"/>
      <c r="G1339" s="1012"/>
      <c r="H1339" s="1058"/>
    </row>
    <row r="1340" spans="1:8" ht="18">
      <c r="A1340" s="1008"/>
      <c r="B1340" s="1009" t="s">
        <v>1920</v>
      </c>
      <c r="C1340" s="1059">
        <v>2</v>
      </c>
      <c r="D1340" s="1011" t="s">
        <v>44</v>
      </c>
      <c r="E1340" s="1011" t="s">
        <v>82</v>
      </c>
      <c r="F1340" s="1012">
        <v>130700</v>
      </c>
      <c r="G1340" s="1060">
        <f>F1340*C1340</f>
        <v>261400</v>
      </c>
      <c r="H1340" s="1058"/>
    </row>
    <row r="1341" spans="1:8" ht="28.5" customHeight="1">
      <c r="A1341" s="1008"/>
      <c r="B1341" s="1009" t="s">
        <v>1043</v>
      </c>
      <c r="C1341" s="1059">
        <v>1</v>
      </c>
      <c r="D1341" s="1011" t="s">
        <v>1665</v>
      </c>
      <c r="E1341" s="1011" t="s">
        <v>82</v>
      </c>
      <c r="F1341" s="1012">
        <v>132000</v>
      </c>
      <c r="G1341" s="1060">
        <f>F1341*C1341</f>
        <v>132000</v>
      </c>
      <c r="H1341" s="1058"/>
    </row>
    <row r="1342" spans="1:8" ht="26.25" customHeight="1">
      <c r="A1342" s="1008"/>
      <c r="B1342" s="1021"/>
      <c r="C1342" s="1059"/>
      <c r="D1342" s="1011"/>
      <c r="E1342" s="1011"/>
      <c r="F1342" s="1012"/>
      <c r="G1342" s="1012"/>
      <c r="H1342" s="1058"/>
    </row>
    <row r="1343" spans="1:8" ht="18">
      <c r="A1343" s="1008"/>
      <c r="B1343" s="1021"/>
      <c r="C1343" s="1059"/>
      <c r="D1343" s="1011"/>
      <c r="E1343" s="1011"/>
      <c r="F1343" s="1012"/>
      <c r="G1343" s="1012"/>
      <c r="H1343" s="1061">
        <f>SUM(G1340:G1342)</f>
        <v>393400</v>
      </c>
    </row>
    <row r="1344" spans="1:8" ht="18">
      <c r="A1344" s="1008" t="s">
        <v>18</v>
      </c>
      <c r="B1344" s="1021" t="s">
        <v>19</v>
      </c>
      <c r="C1344" s="1059"/>
      <c r="D1344" s="1011"/>
      <c r="E1344" s="1011"/>
      <c r="F1344" s="1012"/>
      <c r="G1344" s="1012"/>
      <c r="H1344" s="1058"/>
    </row>
    <row r="1345" spans="1:8" ht="18">
      <c r="A1345" s="1008"/>
      <c r="B1345" s="1009" t="s">
        <v>1924</v>
      </c>
      <c r="C1345" s="1059">
        <v>2</v>
      </c>
      <c r="D1345" s="1011" t="s">
        <v>44</v>
      </c>
      <c r="E1345" s="1011" t="s">
        <v>82</v>
      </c>
      <c r="F1345" s="1012">
        <f>170625/2</f>
        <v>85312.5</v>
      </c>
      <c r="G1345" s="1060">
        <f>F1345*C1345</f>
        <v>170625</v>
      </c>
      <c r="H1345" s="1058"/>
    </row>
    <row r="1346" spans="1:8" ht="18">
      <c r="A1346" s="1008"/>
      <c r="B1346" s="1009" t="s">
        <v>1918</v>
      </c>
      <c r="C1346" s="1059">
        <v>2</v>
      </c>
      <c r="D1346" s="1011" t="s">
        <v>44</v>
      </c>
      <c r="E1346" s="1011" t="s">
        <v>82</v>
      </c>
      <c r="F1346" s="1012">
        <v>170625</v>
      </c>
      <c r="G1346" s="1060">
        <f>F1346*C1346</f>
        <v>341250</v>
      </c>
      <c r="H1346" s="1058"/>
    </row>
    <row r="1347" spans="1:8" ht="18">
      <c r="A1347" s="1008"/>
      <c r="B1347" s="1009" t="s">
        <v>1962</v>
      </c>
      <c r="C1347" s="1059">
        <v>2</v>
      </c>
      <c r="D1347" s="1011" t="s">
        <v>44</v>
      </c>
      <c r="E1347" s="1011" t="s">
        <v>82</v>
      </c>
      <c r="F1347" s="1012">
        <f>170625/2</f>
        <v>85312.5</v>
      </c>
      <c r="G1347" s="1060">
        <f>F1347*C1347</f>
        <v>170625</v>
      </c>
      <c r="H1347" s="1058"/>
    </row>
    <row r="1348" spans="1:8" ht="18">
      <c r="A1348" s="1008"/>
      <c r="B1348" s="1009" t="s">
        <v>1963</v>
      </c>
      <c r="C1348" s="1059">
        <v>2</v>
      </c>
      <c r="D1348" s="1011" t="s">
        <v>44</v>
      </c>
      <c r="E1348" s="1011" t="s">
        <v>82</v>
      </c>
      <c r="F1348" s="1012">
        <f>170625/2</f>
        <v>85312.5</v>
      </c>
      <c r="G1348" s="1060">
        <f>F1348*C1348</f>
        <v>170625</v>
      </c>
      <c r="H1348" s="1058"/>
    </row>
    <row r="1349" spans="1:8" ht="18">
      <c r="A1349" s="1023"/>
      <c r="B1349" s="1024"/>
      <c r="C1349" s="1022"/>
      <c r="D1349" s="1011"/>
      <c r="E1349" s="1011"/>
      <c r="F1349" s="1022"/>
      <c r="G1349" s="1022"/>
      <c r="H1349" s="1007"/>
    </row>
    <row r="1350" spans="1:8" ht="18">
      <c r="A1350" s="1025"/>
      <c r="B1350" s="1026"/>
      <c r="C1350" s="1027"/>
      <c r="D1350" s="1028"/>
      <c r="E1350" s="1029"/>
      <c r="F1350" s="1029" t="s">
        <v>25</v>
      </c>
      <c r="G1350" s="1030">
        <f>SUM(G1345:G1349)</f>
        <v>853125</v>
      </c>
      <c r="H1350" s="1018"/>
    </row>
    <row r="1351" spans="1:8" ht="18">
      <c r="A1351" s="1031"/>
      <c r="B1351" s="1032"/>
      <c r="C1351" s="1033"/>
      <c r="D1351" s="1033"/>
      <c r="E1351" s="1034"/>
      <c r="F1351" s="1035" t="s">
        <v>1151</v>
      </c>
      <c r="G1351" s="1036"/>
      <c r="H1351" s="1037"/>
    </row>
    <row r="1352" spans="1:8" ht="18">
      <c r="A1352" s="1038"/>
      <c r="B1352" s="1039"/>
      <c r="C1352" s="1040"/>
      <c r="D1352" s="1040"/>
      <c r="E1352" s="1041"/>
      <c r="F1352" s="1042"/>
      <c r="G1352" s="1043"/>
      <c r="H1352" s="1044">
        <f>G1350+G1351</f>
        <v>853125</v>
      </c>
    </row>
    <row r="1353" spans="1:8" ht="18">
      <c r="A1353" s="1031"/>
      <c r="B1353" s="1032"/>
      <c r="C1353" s="1033"/>
      <c r="D1353" s="1033"/>
      <c r="E1353" s="1034"/>
      <c r="F1353" s="1035"/>
      <c r="G1353" s="1045"/>
      <c r="H1353" s="1046"/>
    </row>
    <row r="1354" spans="1:8" ht="18">
      <c r="A1354" s="1047"/>
      <c r="B1354" s="1048"/>
      <c r="C1354" s="1048"/>
      <c r="D1354" s="1048"/>
      <c r="E1354" s="1048"/>
      <c r="F1354" s="1049"/>
      <c r="G1354" s="1050" t="s">
        <v>28</v>
      </c>
      <c r="H1354" s="1006">
        <f>H1352+H1343</f>
        <v>1246525</v>
      </c>
    </row>
    <row r="1355" spans="1:8" ht="18">
      <c r="A1355" s="1051"/>
      <c r="B1355" s="1052"/>
      <c r="C1355" s="1053"/>
      <c r="D1355" s="1053"/>
      <c r="E1355" s="1053"/>
      <c r="F1355" s="1054"/>
      <c r="G1355" s="1055" t="s">
        <v>30</v>
      </c>
      <c r="H1355" s="1056">
        <f>ROUND(H1354,-3)</f>
        <v>1247000</v>
      </c>
    </row>
    <row r="1356" spans="1:8" ht="15.6">
      <c r="A1356" s="49"/>
      <c r="B1356" s="49"/>
      <c r="C1356" s="49"/>
      <c r="D1356" s="49"/>
      <c r="E1356" s="49"/>
      <c r="F1356" s="49"/>
      <c r="G1356" s="49"/>
      <c r="H1356" s="50"/>
    </row>
    <row r="1357" spans="1:8" ht="18">
      <c r="A1357" s="768" t="s">
        <v>1150</v>
      </c>
      <c r="B1357" s="49"/>
      <c r="C1357" s="49"/>
      <c r="D1357" s="49"/>
      <c r="E1357" s="49"/>
      <c r="F1357" s="49"/>
      <c r="G1357" s="49"/>
      <c r="H1357" s="50"/>
    </row>
    <row r="1358" spans="1:8" ht="17.399999999999999">
      <c r="A1358" s="49"/>
      <c r="B1358" s="965" t="s">
        <v>1919</v>
      </c>
      <c r="C1358" s="49"/>
      <c r="D1358" s="49"/>
      <c r="E1358" s="49"/>
      <c r="F1358" s="49"/>
      <c r="G1358" s="49"/>
      <c r="H1358" s="50"/>
    </row>
    <row r="1359" spans="1:8" ht="15.6">
      <c r="A1359" s="49"/>
      <c r="B1359" s="49"/>
      <c r="C1359" s="49"/>
      <c r="D1359" s="49"/>
      <c r="E1359" s="49"/>
      <c r="F1359" s="49"/>
      <c r="G1359" s="49"/>
      <c r="H1359" s="50"/>
    </row>
    <row r="1360" spans="1:8" ht="18">
      <c r="A1360" s="958"/>
      <c r="B1360" s="958"/>
      <c r="C1360" s="958"/>
      <c r="D1360" s="958"/>
      <c r="E1360" s="958"/>
      <c r="F1360" s="958"/>
      <c r="G1360" s="1530" t="s">
        <v>1964</v>
      </c>
      <c r="H1360" s="1530"/>
    </row>
    <row r="1361" spans="1:17" ht="18">
      <c r="A1361" s="1530" t="s">
        <v>31</v>
      </c>
      <c r="B1361" s="1530"/>
      <c r="C1361" s="1530" t="s">
        <v>32</v>
      </c>
      <c r="D1361" s="1530"/>
      <c r="E1361" s="1530"/>
      <c r="F1361" s="958"/>
      <c r="G1361" s="1530" t="s">
        <v>33</v>
      </c>
      <c r="H1361" s="1530"/>
    </row>
    <row r="1362" spans="1:17" ht="18">
      <c r="A1362" s="958"/>
      <c r="B1362" s="958"/>
      <c r="C1362" s="958"/>
      <c r="D1362" s="958"/>
      <c r="E1362" s="958"/>
      <c r="F1362" s="958"/>
      <c r="G1362" s="958"/>
      <c r="H1362" s="958"/>
    </row>
    <row r="1363" spans="1:17" ht="18">
      <c r="A1363" s="958"/>
      <c r="B1363" s="958"/>
      <c r="C1363" s="958"/>
      <c r="D1363" s="958"/>
      <c r="E1363" s="958"/>
      <c r="F1363" s="958"/>
      <c r="G1363" s="958"/>
      <c r="H1363" s="958"/>
    </row>
    <row r="1364" spans="1:17" ht="18">
      <c r="A1364" s="958"/>
      <c r="B1364" s="958"/>
      <c r="C1364" s="958"/>
      <c r="D1364" s="958"/>
      <c r="E1364" s="958"/>
      <c r="F1364" s="958"/>
      <c r="G1364" s="958"/>
      <c r="H1364" s="958"/>
    </row>
    <row r="1365" spans="1:17" ht="18">
      <c r="A1365" s="1529" t="s">
        <v>1622</v>
      </c>
      <c r="B1365" s="1529"/>
      <c r="C1365" s="1529" t="s">
        <v>1603</v>
      </c>
      <c r="D1365" s="1529"/>
      <c r="E1365" s="1529"/>
      <c r="F1365" s="958"/>
      <c r="G1365" s="1529" t="s">
        <v>1661</v>
      </c>
      <c r="H1365" s="1529"/>
    </row>
    <row r="1366" spans="1:17" ht="18">
      <c r="A1366" s="1530" t="s">
        <v>37</v>
      </c>
      <c r="B1366" s="1530"/>
      <c r="C1366" s="1530" t="s">
        <v>1604</v>
      </c>
      <c r="D1366" s="1530"/>
      <c r="E1366" s="1530"/>
      <c r="F1366" s="958"/>
      <c r="G1366" s="1530" t="s">
        <v>39</v>
      </c>
      <c r="H1366" s="1530"/>
    </row>
    <row r="1367" spans="1:17" ht="15.6">
      <c r="A1367" s="602"/>
      <c r="B1367" s="602"/>
      <c r="C1367" s="602"/>
      <c r="D1367" s="602"/>
      <c r="E1367" s="602"/>
      <c r="F1367" s="51"/>
      <c r="G1367" s="602"/>
      <c r="H1367" s="602"/>
    </row>
    <row r="1370" spans="1:17" ht="28.8">
      <c r="A1370" s="597"/>
      <c r="B1370" s="597"/>
      <c r="C1370" s="1513" t="s">
        <v>1913</v>
      </c>
      <c r="D1370" s="1513"/>
      <c r="E1370" s="1513"/>
      <c r="F1370" s="1513"/>
      <c r="G1370" s="1513"/>
      <c r="H1370" s="1513"/>
    </row>
    <row r="1371" spans="1:17" ht="28.5" customHeight="1">
      <c r="A1371" s="597"/>
      <c r="B1371" s="597"/>
      <c r="C1371" s="1541" t="s">
        <v>1909</v>
      </c>
      <c r="D1371" s="1541"/>
      <c r="E1371" s="1541"/>
      <c r="F1371" s="1541"/>
      <c r="G1371" s="1541"/>
      <c r="H1371" s="1541"/>
    </row>
    <row r="1372" spans="1:17" ht="26.25" customHeight="1">
      <c r="A1372" s="830"/>
      <c r="B1372" s="830"/>
      <c r="C1372" s="1541" t="s">
        <v>237</v>
      </c>
      <c r="D1372" s="1541"/>
      <c r="E1372" s="1541"/>
      <c r="F1372" s="1541"/>
      <c r="G1372" s="1541"/>
      <c r="H1372" s="1541"/>
      <c r="K1372" s="1567" t="s">
        <v>1900</v>
      </c>
      <c r="L1372" s="1567"/>
      <c r="M1372" s="1567"/>
      <c r="N1372" s="1567"/>
      <c r="O1372" s="1567"/>
      <c r="P1372" s="1567"/>
      <c r="Q1372" s="1567"/>
    </row>
    <row r="1373" spans="1:17" ht="18">
      <c r="A1373" s="769"/>
      <c r="B1373" s="769"/>
      <c r="C1373" s="769"/>
      <c r="D1373" s="769"/>
      <c r="E1373" s="769"/>
      <c r="F1373" s="769"/>
      <c r="G1373" s="769"/>
      <c r="H1373" s="769"/>
      <c r="K1373" s="1567" t="s">
        <v>1901</v>
      </c>
      <c r="L1373" s="1567"/>
      <c r="M1373" s="1567"/>
      <c r="N1373" s="1567"/>
      <c r="O1373" s="1567"/>
      <c r="P1373" s="1567"/>
      <c r="Q1373" s="1567"/>
    </row>
    <row r="1374" spans="1:17" ht="15.6">
      <c r="A1374" s="769"/>
      <c r="B1374" s="769"/>
      <c r="C1374" s="769"/>
      <c r="D1374" s="769"/>
      <c r="E1374" s="769"/>
      <c r="F1374" s="769"/>
      <c r="G1374" s="769"/>
      <c r="H1374" s="769"/>
    </row>
    <row r="1375" spans="1:17" ht="18">
      <c r="A1375" s="1531" t="s">
        <v>3</v>
      </c>
      <c r="B1375" s="1531" t="s">
        <v>4</v>
      </c>
      <c r="C1375" s="1531" t="s">
        <v>5</v>
      </c>
      <c r="D1375" s="1531" t="s">
        <v>6</v>
      </c>
      <c r="E1375" s="1531" t="s">
        <v>7</v>
      </c>
      <c r="F1375" s="1001" t="s">
        <v>8</v>
      </c>
      <c r="G1375" s="1001" t="s">
        <v>9</v>
      </c>
      <c r="H1375" s="1001" t="s">
        <v>10</v>
      </c>
      <c r="K1375" s="808" t="s">
        <v>1894</v>
      </c>
      <c r="L1375" s="808"/>
      <c r="M1375" s="808"/>
      <c r="N1375" s="808"/>
      <c r="O1375" s="808" t="s">
        <v>555</v>
      </c>
      <c r="P1375" s="808" t="s">
        <v>1895</v>
      </c>
      <c r="Q1375" s="808"/>
    </row>
    <row r="1376" spans="1:17" ht="18">
      <c r="A1376" s="1532"/>
      <c r="B1376" s="1532"/>
      <c r="C1376" s="1532"/>
      <c r="D1376" s="1532"/>
      <c r="E1376" s="1532"/>
      <c r="F1376" s="1002" t="s">
        <v>11</v>
      </c>
      <c r="G1376" s="1002" t="s">
        <v>11</v>
      </c>
      <c r="H1376" s="1002" t="s">
        <v>11</v>
      </c>
      <c r="K1376" s="808" t="s">
        <v>1896</v>
      </c>
      <c r="L1376" s="808"/>
      <c r="M1376" s="808"/>
      <c r="N1376" s="808"/>
      <c r="O1376" s="808"/>
      <c r="P1376" s="808"/>
      <c r="Q1376" s="808"/>
    </row>
    <row r="1377" spans="1:17" ht="18">
      <c r="A1377" s="1001"/>
      <c r="B1377" s="1003"/>
      <c r="C1377" s="1004"/>
      <c r="D1377" s="1005"/>
      <c r="E1377" s="1005"/>
      <c r="F1377" s="1005"/>
      <c r="G1377" s="1006"/>
      <c r="H1377" s="1057"/>
      <c r="K1377" s="808"/>
      <c r="L1377" s="808"/>
      <c r="M1377" s="808"/>
      <c r="N1377" s="808"/>
      <c r="O1377" s="808"/>
      <c r="P1377" s="808"/>
      <c r="Q1377" s="808"/>
    </row>
    <row r="1378" spans="1:17" ht="18">
      <c r="A1378" s="1008" t="s">
        <v>12</v>
      </c>
      <c r="B1378" s="1021" t="s">
        <v>13</v>
      </c>
      <c r="C1378" s="1010"/>
      <c r="D1378" s="1011"/>
      <c r="E1378" s="1011"/>
      <c r="F1378" s="1012"/>
      <c r="G1378" s="1012"/>
      <c r="H1378" s="1058"/>
      <c r="K1378" s="808" t="s">
        <v>1897</v>
      </c>
      <c r="L1378" s="808"/>
      <c r="M1378" s="808"/>
      <c r="N1378" s="808"/>
      <c r="O1378" s="808" t="s">
        <v>555</v>
      </c>
      <c r="P1378" s="808" t="s">
        <v>1898</v>
      </c>
      <c r="Q1378" s="808"/>
    </row>
    <row r="1379" spans="1:17" ht="18">
      <c r="A1379" s="1008"/>
      <c r="B1379" s="1009" t="s">
        <v>1910</v>
      </c>
      <c r="C1379" s="1059">
        <v>1</v>
      </c>
      <c r="D1379" s="1011" t="s">
        <v>44</v>
      </c>
      <c r="E1379" s="1011" t="s">
        <v>82</v>
      </c>
      <c r="F1379" s="1012">
        <v>302500</v>
      </c>
      <c r="G1379" s="1060">
        <f>F1379*C1379</f>
        <v>302500</v>
      </c>
      <c r="H1379" s="1058"/>
      <c r="K1379" s="808" t="s">
        <v>1896</v>
      </c>
      <c r="L1379" s="808"/>
      <c r="M1379" s="808"/>
      <c r="N1379" s="808"/>
      <c r="O1379" s="808"/>
      <c r="P1379" s="808"/>
      <c r="Q1379" s="808"/>
    </row>
    <row r="1380" spans="1:17" ht="18">
      <c r="A1380" s="1008"/>
      <c r="B1380" s="1009" t="s">
        <v>1043</v>
      </c>
      <c r="C1380" s="1059">
        <v>1</v>
      </c>
      <c r="D1380" s="1011" t="s">
        <v>1665</v>
      </c>
      <c r="E1380" s="1011" t="s">
        <v>82</v>
      </c>
      <c r="F1380" s="1012">
        <v>132000</v>
      </c>
      <c r="G1380" s="1060">
        <f>F1380*C1380</f>
        <v>132000</v>
      </c>
      <c r="H1380" s="1058"/>
      <c r="K1380" s="808"/>
      <c r="L1380" s="808"/>
      <c r="M1380" s="808"/>
      <c r="N1380" s="808"/>
      <c r="O1380" s="808"/>
      <c r="P1380" s="808"/>
      <c r="Q1380" s="808"/>
    </row>
    <row r="1381" spans="1:17" ht="18">
      <c r="A1381" s="1008"/>
      <c r="B1381" s="1009" t="s">
        <v>1911</v>
      </c>
      <c r="C1381" s="1059">
        <v>0.6</v>
      </c>
      <c r="D1381" s="1011" t="s">
        <v>1665</v>
      </c>
      <c r="E1381" s="1011" t="s">
        <v>16</v>
      </c>
      <c r="F1381" s="1012">
        <v>750000</v>
      </c>
      <c r="G1381" s="1060">
        <f>F1381*C1381</f>
        <v>450000</v>
      </c>
      <c r="H1381" s="1058"/>
      <c r="K1381" s="808" t="s">
        <v>1899</v>
      </c>
      <c r="L1381" s="808"/>
      <c r="M1381" s="808"/>
      <c r="N1381" s="808"/>
      <c r="O1381" s="1131" t="s">
        <v>555</v>
      </c>
      <c r="P1381" s="1131" t="s">
        <v>1898</v>
      </c>
      <c r="Q1381" s="1131"/>
    </row>
    <row r="1382" spans="1:17" ht="18.600000000000001" thickBot="1">
      <c r="A1382" s="1008"/>
      <c r="B1382" s="1021"/>
      <c r="C1382" s="1059"/>
      <c r="D1382" s="1011"/>
      <c r="E1382" s="1011"/>
      <c r="F1382" s="1012"/>
      <c r="G1382" s="1012"/>
      <c r="H1382" s="1058"/>
      <c r="K1382" s="808" t="s">
        <v>1896</v>
      </c>
      <c r="L1382" s="808"/>
      <c r="M1382" s="808"/>
      <c r="N1382" s="808"/>
      <c r="O1382" s="1130"/>
      <c r="P1382" s="1130"/>
      <c r="Q1382" s="1130"/>
    </row>
    <row r="1383" spans="1:17" ht="18">
      <c r="A1383" s="1008"/>
      <c r="B1383" s="1021"/>
      <c r="C1383" s="1059"/>
      <c r="D1383" s="1011"/>
      <c r="E1383" s="1011"/>
      <c r="F1383" s="1012"/>
      <c r="G1383" s="1012"/>
      <c r="H1383" s="1061">
        <f>SUM(G1379:G1382)</f>
        <v>884500</v>
      </c>
      <c r="K1383" s="808"/>
      <c r="L1383" s="808"/>
      <c r="M1383" s="808"/>
      <c r="N1383" s="808"/>
      <c r="O1383" s="808" t="s">
        <v>555</v>
      </c>
      <c r="P1383" s="808" t="s">
        <v>1902</v>
      </c>
      <c r="Q1383" s="808"/>
    </row>
    <row r="1384" spans="1:17" ht="18">
      <c r="A1384" s="1008" t="s">
        <v>18</v>
      </c>
      <c r="B1384" s="1021" t="s">
        <v>19</v>
      </c>
      <c r="C1384" s="1059"/>
      <c r="D1384" s="1011"/>
      <c r="E1384" s="1011"/>
      <c r="F1384" s="1012"/>
      <c r="G1384" s="1012"/>
      <c r="H1384" s="1058"/>
      <c r="K1384" s="808"/>
    </row>
    <row r="1385" spans="1:17" ht="18">
      <c r="A1385" s="1008"/>
      <c r="B1385" s="1009" t="s">
        <v>1912</v>
      </c>
      <c r="C1385" s="1064" t="s">
        <v>1915</v>
      </c>
      <c r="D1385" s="1011" t="s">
        <v>245</v>
      </c>
      <c r="E1385" s="1011" t="s">
        <v>82</v>
      </c>
      <c r="F1385" s="1012">
        <v>214375</v>
      </c>
      <c r="G1385" s="1060">
        <v>807765</v>
      </c>
      <c r="H1385" s="1058"/>
      <c r="K1385" s="808"/>
    </row>
    <row r="1386" spans="1:17" ht="18">
      <c r="A1386" s="1008"/>
      <c r="B1386" s="1009" t="s">
        <v>1914</v>
      </c>
      <c r="C1386" s="1059">
        <v>1</v>
      </c>
      <c r="D1386" s="1011" t="s">
        <v>44</v>
      </c>
      <c r="E1386" s="1011" t="s">
        <v>82</v>
      </c>
      <c r="F1386" s="1012">
        <v>303760</v>
      </c>
      <c r="G1386" s="1060">
        <f>F1386*C1386</f>
        <v>303760</v>
      </c>
      <c r="H1386" s="1058"/>
      <c r="K1386" s="808"/>
    </row>
    <row r="1387" spans="1:17" ht="18">
      <c r="A1387" s="1023"/>
      <c r="B1387" s="1024"/>
      <c r="C1387" s="1022"/>
      <c r="D1387" s="1011"/>
      <c r="E1387" s="1011"/>
      <c r="F1387" s="1022"/>
      <c r="G1387" s="1022"/>
      <c r="H1387" s="1007"/>
      <c r="K1387" s="808"/>
    </row>
    <row r="1388" spans="1:17" ht="18">
      <c r="A1388" s="1025"/>
      <c r="B1388" s="1026"/>
      <c r="C1388" s="1027"/>
      <c r="D1388" s="1028"/>
      <c r="E1388" s="1029"/>
      <c r="F1388" s="1029" t="s">
        <v>25</v>
      </c>
      <c r="G1388" s="1030">
        <f>SUM(G1385:G1387)</f>
        <v>1111525</v>
      </c>
      <c r="H1388" s="1018"/>
      <c r="K1388" s="808"/>
    </row>
    <row r="1389" spans="1:17" ht="18">
      <c r="A1389" s="1031"/>
      <c r="B1389" s="1032"/>
      <c r="C1389" s="1033"/>
      <c r="D1389" s="1033"/>
      <c r="E1389" s="1034"/>
      <c r="F1389" s="1035" t="s">
        <v>1151</v>
      </c>
      <c r="G1389" s="1036"/>
      <c r="H1389" s="1037"/>
    </row>
    <row r="1390" spans="1:17" ht="18">
      <c r="A1390" s="1038"/>
      <c r="B1390" s="1039"/>
      <c r="C1390" s="1040"/>
      <c r="D1390" s="1040"/>
      <c r="E1390" s="1041"/>
      <c r="F1390" s="1042"/>
      <c r="G1390" s="1043"/>
      <c r="H1390" s="1044">
        <f>G1388+G1389</f>
        <v>1111525</v>
      </c>
    </row>
    <row r="1391" spans="1:17" ht="18">
      <c r="A1391" s="1031"/>
      <c r="B1391" s="1032"/>
      <c r="C1391" s="1033"/>
      <c r="D1391" s="1033"/>
      <c r="E1391" s="1034"/>
      <c r="F1391" s="1035"/>
      <c r="G1391" s="1045"/>
      <c r="H1391" s="1046"/>
    </row>
    <row r="1392" spans="1:17" ht="18">
      <c r="A1392" s="1047"/>
      <c r="B1392" s="1048"/>
      <c r="C1392" s="1048"/>
      <c r="D1392" s="1048"/>
      <c r="E1392" s="1048"/>
      <c r="F1392" s="1049"/>
      <c r="G1392" s="1050" t="s">
        <v>28</v>
      </c>
      <c r="H1392" s="1006">
        <f>H1390+H1383</f>
        <v>1996025</v>
      </c>
    </row>
    <row r="1393" spans="1:8" ht="18">
      <c r="A1393" s="1051"/>
      <c r="B1393" s="1052"/>
      <c r="C1393" s="1053"/>
      <c r="D1393" s="1053"/>
      <c r="E1393" s="1053"/>
      <c r="F1393" s="1054"/>
      <c r="G1393" s="1055" t="s">
        <v>30</v>
      </c>
      <c r="H1393" s="1056">
        <f>ROUND(H1392,-3)</f>
        <v>1996000</v>
      </c>
    </row>
    <row r="1394" spans="1:8" ht="15.6">
      <c r="A1394" s="49"/>
      <c r="B1394" s="49"/>
      <c r="C1394" s="49"/>
      <c r="D1394" s="49"/>
      <c r="E1394" s="49"/>
      <c r="F1394" s="49"/>
      <c r="G1394" s="49"/>
      <c r="H1394" s="50"/>
    </row>
    <row r="1395" spans="1:8" ht="18">
      <c r="A1395" s="768" t="s">
        <v>1150</v>
      </c>
      <c r="B1395" s="49"/>
      <c r="C1395" s="49"/>
      <c r="D1395" s="49"/>
      <c r="E1395" s="49"/>
      <c r="F1395" s="49"/>
      <c r="G1395" s="49"/>
      <c r="H1395" s="50"/>
    </row>
    <row r="1396" spans="1:8" ht="17.399999999999999">
      <c r="A1396" s="49"/>
      <c r="B1396" s="965" t="s">
        <v>1917</v>
      </c>
      <c r="C1396" s="49"/>
      <c r="D1396" s="49"/>
      <c r="E1396" s="49"/>
      <c r="F1396" s="49"/>
      <c r="G1396" s="49"/>
      <c r="H1396" s="50"/>
    </row>
    <row r="1397" spans="1:8" ht="15.6">
      <c r="A1397" s="49"/>
      <c r="B1397" s="49"/>
      <c r="C1397" s="49"/>
      <c r="D1397" s="49"/>
      <c r="E1397" s="49"/>
      <c r="F1397" s="49"/>
      <c r="G1397" s="49"/>
      <c r="H1397" s="50"/>
    </row>
    <row r="1398" spans="1:8" ht="18">
      <c r="A1398" s="958"/>
      <c r="B1398" s="958"/>
      <c r="C1398" s="958"/>
      <c r="D1398" s="958"/>
      <c r="E1398" s="958"/>
      <c r="F1398" s="958"/>
      <c r="G1398" s="1530" t="s">
        <v>1916</v>
      </c>
      <c r="H1398" s="1530"/>
    </row>
    <row r="1399" spans="1:8" ht="18">
      <c r="A1399" s="1530" t="s">
        <v>31</v>
      </c>
      <c r="B1399" s="1530"/>
      <c r="C1399" s="1530" t="s">
        <v>32</v>
      </c>
      <c r="D1399" s="1530"/>
      <c r="E1399" s="1530"/>
      <c r="F1399" s="958"/>
      <c r="G1399" s="1530" t="s">
        <v>33</v>
      </c>
      <c r="H1399" s="1530"/>
    </row>
    <row r="1400" spans="1:8" ht="18">
      <c r="A1400" s="958"/>
      <c r="B1400" s="958"/>
      <c r="C1400" s="958"/>
      <c r="D1400" s="958"/>
      <c r="E1400" s="958"/>
      <c r="F1400" s="958"/>
      <c r="G1400" s="958"/>
      <c r="H1400" s="958"/>
    </row>
    <row r="1401" spans="1:8" ht="18">
      <c r="A1401" s="958"/>
      <c r="B1401" s="958"/>
      <c r="C1401" s="958"/>
      <c r="D1401" s="958"/>
      <c r="E1401" s="958"/>
      <c r="F1401" s="958"/>
      <c r="G1401" s="958"/>
      <c r="H1401" s="958"/>
    </row>
    <row r="1402" spans="1:8" ht="18">
      <c r="A1402" s="958"/>
      <c r="B1402" s="958"/>
      <c r="C1402" s="958"/>
      <c r="D1402" s="958"/>
      <c r="E1402" s="958"/>
      <c r="F1402" s="958"/>
      <c r="G1402" s="958"/>
      <c r="H1402" s="958"/>
    </row>
    <row r="1403" spans="1:8" ht="18">
      <c r="A1403" s="1529" t="s">
        <v>1622</v>
      </c>
      <c r="B1403" s="1529"/>
      <c r="C1403" s="1529" t="s">
        <v>1603</v>
      </c>
      <c r="D1403" s="1529"/>
      <c r="E1403" s="1529"/>
      <c r="F1403" s="958"/>
      <c r="G1403" s="1529" t="s">
        <v>1661</v>
      </c>
      <c r="H1403" s="1529"/>
    </row>
    <row r="1404" spans="1:8" ht="18">
      <c r="A1404" s="1530" t="s">
        <v>37</v>
      </c>
      <c r="B1404" s="1530"/>
      <c r="C1404" s="1530" t="s">
        <v>1604</v>
      </c>
      <c r="D1404" s="1530"/>
      <c r="E1404" s="1530"/>
      <c r="F1404" s="958"/>
      <c r="G1404" s="1530" t="s">
        <v>39</v>
      </c>
      <c r="H1404" s="1530"/>
    </row>
    <row r="1405" spans="1:8" ht="15.6">
      <c r="A1405" s="602"/>
      <c r="B1405" s="602"/>
      <c r="C1405" s="602"/>
      <c r="D1405" s="602"/>
      <c r="E1405" s="602"/>
      <c r="F1405" s="51"/>
      <c r="G1405" s="602"/>
      <c r="H1405" s="602"/>
    </row>
    <row r="1411" spans="1:8" ht="28.8">
      <c r="A1411" s="597"/>
      <c r="B1411" s="597"/>
      <c r="C1411" s="1513" t="s">
        <v>235</v>
      </c>
      <c r="D1411" s="1513"/>
      <c r="E1411" s="1513"/>
      <c r="F1411" s="1513"/>
      <c r="G1411" s="1513"/>
      <c r="H1411" s="1513"/>
    </row>
    <row r="1412" spans="1:8" ht="28.8">
      <c r="A1412" s="597"/>
      <c r="B1412" s="597"/>
      <c r="C1412" s="1541" t="s">
        <v>1906</v>
      </c>
      <c r="D1412" s="1541"/>
      <c r="E1412" s="1541"/>
      <c r="F1412" s="1541"/>
      <c r="G1412" s="1541"/>
      <c r="H1412" s="1541"/>
    </row>
    <row r="1413" spans="1:8" ht="23.4">
      <c r="A1413" s="830"/>
      <c r="B1413" s="830"/>
      <c r="C1413" s="1537" t="s">
        <v>466</v>
      </c>
      <c r="D1413" s="1537"/>
      <c r="E1413" s="1537"/>
      <c r="F1413" s="1537"/>
      <c r="G1413" s="1537"/>
      <c r="H1413" s="1537"/>
    </row>
    <row r="1414" spans="1:8" ht="15.6">
      <c r="A1414" s="769"/>
      <c r="B1414" s="769"/>
      <c r="C1414" s="769"/>
      <c r="D1414" s="769"/>
      <c r="E1414" s="769"/>
      <c r="F1414" s="769"/>
      <c r="G1414" s="769"/>
      <c r="H1414" s="769"/>
    </row>
    <row r="1415" spans="1:8" ht="15.6">
      <c r="A1415" s="769"/>
      <c r="B1415" s="769"/>
      <c r="C1415" s="769"/>
      <c r="D1415" s="769"/>
      <c r="E1415" s="769"/>
      <c r="F1415" s="769"/>
      <c r="G1415" s="769"/>
      <c r="H1415" s="769"/>
    </row>
    <row r="1416" spans="1:8" ht="15.6">
      <c r="A1416" s="1516" t="s">
        <v>3</v>
      </c>
      <c r="B1416" s="1516" t="s">
        <v>4</v>
      </c>
      <c r="C1416" s="1516" t="s">
        <v>5</v>
      </c>
      <c r="D1416" s="1516" t="s">
        <v>6</v>
      </c>
      <c r="E1416" s="1516" t="s">
        <v>7</v>
      </c>
      <c r="F1416" s="770" t="s">
        <v>8</v>
      </c>
      <c r="G1416" s="770" t="s">
        <v>9</v>
      </c>
      <c r="H1416" s="770" t="s">
        <v>10</v>
      </c>
    </row>
    <row r="1417" spans="1:8" ht="15.6">
      <c r="A1417" s="1517"/>
      <c r="B1417" s="1517"/>
      <c r="C1417" s="1517"/>
      <c r="D1417" s="1517"/>
      <c r="E1417" s="1517"/>
      <c r="F1417" s="771" t="s">
        <v>11</v>
      </c>
      <c r="G1417" s="771" t="s">
        <v>11</v>
      </c>
      <c r="H1417" s="771" t="s">
        <v>11</v>
      </c>
    </row>
    <row r="1418" spans="1:8" ht="15.6">
      <c r="A1418" s="770" t="s">
        <v>12</v>
      </c>
      <c r="B1418" s="772" t="s">
        <v>364</v>
      </c>
      <c r="C1418" s="773"/>
      <c r="D1418" s="774"/>
      <c r="E1418" s="774"/>
      <c r="F1418" s="774"/>
      <c r="G1418" s="775"/>
      <c r="H1418" s="776"/>
    </row>
    <row r="1419" spans="1:8" ht="15.6">
      <c r="A1419" s="786"/>
      <c r="B1419" s="969" t="s">
        <v>1583</v>
      </c>
      <c r="C1419" s="779">
        <v>0.5</v>
      </c>
      <c r="D1419" s="780" t="s">
        <v>245</v>
      </c>
      <c r="E1419" s="780" t="s">
        <v>197</v>
      </c>
      <c r="F1419" s="791" t="s">
        <v>126</v>
      </c>
      <c r="G1419" s="791" t="s">
        <v>126</v>
      </c>
      <c r="H1419" s="971"/>
    </row>
    <row r="1420" spans="1:8" ht="15.6">
      <c r="A1420" s="786"/>
      <c r="B1420" s="969" t="s">
        <v>1595</v>
      </c>
      <c r="C1420" s="779">
        <v>8</v>
      </c>
      <c r="D1420" s="780" t="s">
        <v>44</v>
      </c>
      <c r="E1420" s="780" t="s">
        <v>197</v>
      </c>
      <c r="F1420" s="791" t="s">
        <v>126</v>
      </c>
      <c r="G1420" s="791" t="s">
        <v>126</v>
      </c>
      <c r="H1420" s="971"/>
    </row>
    <row r="1421" spans="1:8" ht="15.6">
      <c r="A1421" s="786"/>
      <c r="B1421" s="969"/>
      <c r="C1421" s="779"/>
      <c r="D1421" s="780"/>
      <c r="E1421" s="780"/>
      <c r="F1421" s="788"/>
      <c r="G1421" s="788"/>
      <c r="H1421" s="971"/>
    </row>
    <row r="1422" spans="1:8" ht="15.6">
      <c r="A1422" s="814"/>
      <c r="B1422" s="806"/>
      <c r="C1422" s="815"/>
      <c r="D1422" s="816"/>
      <c r="E1422" s="816"/>
      <c r="F1422" s="817"/>
      <c r="G1422" s="817"/>
      <c r="H1422" s="818">
        <f>SUM(G1418:G1422)</f>
        <v>0</v>
      </c>
    </row>
    <row r="1423" spans="1:8" ht="15.6">
      <c r="A1423" s="786" t="s">
        <v>18</v>
      </c>
      <c r="B1423" s="787" t="s">
        <v>19</v>
      </c>
      <c r="C1423" s="782"/>
      <c r="D1423" s="780"/>
      <c r="E1423" s="780"/>
      <c r="F1423" s="778"/>
      <c r="G1423" s="788"/>
      <c r="H1423" s="789"/>
    </row>
    <row r="1424" spans="1:8" ht="15.6">
      <c r="A1424" s="790"/>
      <c r="B1424" s="969" t="s">
        <v>1936</v>
      </c>
      <c r="C1424" s="779">
        <v>2</v>
      </c>
      <c r="D1424" s="780" t="s">
        <v>1774</v>
      </c>
      <c r="E1424" s="780" t="s">
        <v>1937</v>
      </c>
      <c r="F1424" s="788">
        <v>90000</v>
      </c>
      <c r="G1424" s="788">
        <f t="shared" ref="G1424:G1430" si="6">F1424*C1424</f>
        <v>180000</v>
      </c>
      <c r="H1424" s="789"/>
    </row>
    <row r="1425" spans="1:10" ht="28.5" customHeight="1">
      <c r="A1425" s="790"/>
      <c r="B1425" s="969" t="s">
        <v>1938</v>
      </c>
      <c r="C1425" s="779">
        <v>1</v>
      </c>
      <c r="D1425" s="780" t="s">
        <v>1774</v>
      </c>
      <c r="E1425" s="780" t="s">
        <v>51</v>
      </c>
      <c r="F1425" s="788">
        <v>150000</v>
      </c>
      <c r="G1425" s="788">
        <f t="shared" si="6"/>
        <v>150000</v>
      </c>
      <c r="H1425" s="789"/>
    </row>
    <row r="1426" spans="1:10" ht="26.25" customHeight="1">
      <c r="A1426" s="790"/>
      <c r="B1426" s="969" t="s">
        <v>1939</v>
      </c>
      <c r="C1426" s="779">
        <v>5</v>
      </c>
      <c r="D1426" s="780" t="s">
        <v>403</v>
      </c>
      <c r="E1426" s="780" t="s">
        <v>51</v>
      </c>
      <c r="F1426" s="788">
        <v>3950</v>
      </c>
      <c r="G1426" s="788">
        <f t="shared" si="6"/>
        <v>19750</v>
      </c>
      <c r="H1426" s="789"/>
      <c r="I1426" s="1079"/>
      <c r="J1426" s="1214">
        <f>H1500/10</f>
        <v>85802.686000000002</v>
      </c>
    </row>
    <row r="1427" spans="1:10" ht="15.6">
      <c r="A1427" s="790"/>
      <c r="B1427" s="969" t="s">
        <v>1941</v>
      </c>
      <c r="C1427" s="779">
        <v>20</v>
      </c>
      <c r="D1427" s="780" t="s">
        <v>926</v>
      </c>
      <c r="E1427" s="780" t="s">
        <v>51</v>
      </c>
      <c r="F1427" s="788">
        <v>1000</v>
      </c>
      <c r="G1427" s="788">
        <f t="shared" si="6"/>
        <v>20000</v>
      </c>
      <c r="H1427" s="789"/>
      <c r="I1427" s="1078"/>
      <c r="J1427" s="1078"/>
    </row>
    <row r="1428" spans="1:10" ht="15.6">
      <c r="A1428" s="790"/>
      <c r="B1428" s="969" t="s">
        <v>1942</v>
      </c>
      <c r="C1428" s="779">
        <v>1</v>
      </c>
      <c r="D1428" s="780" t="s">
        <v>403</v>
      </c>
      <c r="E1428" s="780" t="s">
        <v>51</v>
      </c>
      <c r="F1428" s="788">
        <v>20000</v>
      </c>
      <c r="G1428" s="788">
        <f t="shared" si="6"/>
        <v>20000</v>
      </c>
      <c r="H1428" s="789"/>
      <c r="I1428" s="1078"/>
      <c r="J1428" s="1078"/>
    </row>
    <row r="1429" spans="1:10" ht="15.6">
      <c r="A1429" s="790"/>
      <c r="B1429" s="969" t="s">
        <v>1940</v>
      </c>
      <c r="C1429" s="779">
        <v>1</v>
      </c>
      <c r="D1429" s="780" t="s">
        <v>410</v>
      </c>
      <c r="E1429" s="780" t="s">
        <v>51</v>
      </c>
      <c r="F1429" s="788">
        <v>300000</v>
      </c>
      <c r="G1429" s="788">
        <f t="shared" si="6"/>
        <v>300000</v>
      </c>
      <c r="H1429" s="789"/>
    </row>
    <row r="1430" spans="1:10" ht="15.6">
      <c r="A1430" s="790"/>
      <c r="B1430" s="969" t="s">
        <v>1907</v>
      </c>
      <c r="C1430" s="779">
        <v>10</v>
      </c>
      <c r="D1430" s="780" t="s">
        <v>1908</v>
      </c>
      <c r="E1430" s="780" t="s">
        <v>51</v>
      </c>
      <c r="F1430" s="788">
        <v>6450</v>
      </c>
      <c r="G1430" s="788">
        <f t="shared" si="6"/>
        <v>64500</v>
      </c>
      <c r="H1430" s="789"/>
    </row>
    <row r="1431" spans="1:10" ht="15.6">
      <c r="A1431" s="790"/>
      <c r="B1431" s="969"/>
      <c r="C1431" s="779"/>
      <c r="D1431" s="780"/>
      <c r="E1431" s="780"/>
      <c r="F1431" s="788"/>
      <c r="G1431" s="788"/>
      <c r="H1431" s="789"/>
    </row>
    <row r="1432" spans="1:10" ht="15.6">
      <c r="A1432" s="790"/>
      <c r="B1432" s="969"/>
      <c r="C1432" s="779"/>
      <c r="D1432" s="780"/>
      <c r="E1432" s="780"/>
      <c r="F1432" s="788"/>
      <c r="G1432" s="788"/>
      <c r="H1432" s="789"/>
    </row>
    <row r="1433" spans="1:10" ht="15.6">
      <c r="A1433" s="790"/>
      <c r="B1433" s="777"/>
      <c r="C1433" s="788"/>
      <c r="D1433" s="780"/>
      <c r="E1433" s="780"/>
      <c r="F1433" s="788"/>
      <c r="G1433" s="788"/>
      <c r="H1433" s="789"/>
    </row>
    <row r="1434" spans="1:10" ht="15.6">
      <c r="A1434" s="793"/>
      <c r="B1434" s="783"/>
      <c r="C1434" s="794"/>
      <c r="D1434" s="795"/>
      <c r="E1434" s="811"/>
      <c r="F1434" s="811" t="s">
        <v>25</v>
      </c>
      <c r="G1434" s="813">
        <f>SUM(G1424:G1433)</f>
        <v>754250</v>
      </c>
      <c r="H1434" s="810"/>
    </row>
    <row r="1435" spans="1:10" ht="15.6">
      <c r="A1435" s="820"/>
      <c r="B1435" s="821"/>
      <c r="C1435" s="822"/>
      <c r="D1435" s="822"/>
      <c r="E1435" s="823"/>
      <c r="F1435" s="819" t="s">
        <v>1151</v>
      </c>
      <c r="G1435" s="964"/>
      <c r="H1435" s="825"/>
    </row>
    <row r="1436" spans="1:10" ht="15.6">
      <c r="A1436" s="796"/>
      <c r="B1436" s="797"/>
      <c r="C1436" s="784"/>
      <c r="D1436" s="784"/>
      <c r="E1436" s="785"/>
      <c r="F1436" s="812"/>
      <c r="G1436" s="798"/>
      <c r="H1436" s="826">
        <f>G1434+G1435</f>
        <v>754250</v>
      </c>
    </row>
    <row r="1437" spans="1:10" ht="15.6">
      <c r="A1437" s="820"/>
      <c r="B1437" s="821"/>
      <c r="C1437" s="822"/>
      <c r="D1437" s="822"/>
      <c r="E1437" s="823"/>
      <c r="F1437" s="819"/>
      <c r="G1437" s="824"/>
      <c r="H1437" s="827"/>
    </row>
    <row r="1438" spans="1:10" ht="15.6">
      <c r="A1438" s="799"/>
      <c r="B1438" s="800"/>
      <c r="C1438" s="800"/>
      <c r="D1438" s="800"/>
      <c r="E1438" s="800"/>
      <c r="F1438" s="801"/>
      <c r="G1438" s="828" t="s">
        <v>28</v>
      </c>
      <c r="H1438" s="775">
        <f>H1436+H1422</f>
        <v>754250</v>
      </c>
    </row>
    <row r="1439" spans="1:10" ht="15.6">
      <c r="A1439" s="802"/>
      <c r="B1439" s="803"/>
      <c r="C1439" s="804"/>
      <c r="D1439" s="804"/>
      <c r="E1439" s="804"/>
      <c r="F1439" s="805"/>
      <c r="G1439" s="829" t="s">
        <v>30</v>
      </c>
      <c r="H1439" s="807">
        <f>ROUND(H1438,-3)</f>
        <v>754000</v>
      </c>
    </row>
    <row r="1440" spans="1:10" ht="15.6">
      <c r="A1440" s="49"/>
      <c r="B1440" s="49"/>
      <c r="C1440" s="49"/>
      <c r="D1440" s="49"/>
      <c r="E1440" s="49"/>
      <c r="F1440" s="49"/>
      <c r="G1440" s="49"/>
      <c r="H1440" s="50"/>
    </row>
    <row r="1441" spans="1:8" ht="18">
      <c r="A1441" s="768" t="s">
        <v>1150</v>
      </c>
      <c r="B1441" s="49"/>
      <c r="C1441" s="49"/>
      <c r="D1441" s="49"/>
      <c r="E1441" s="49"/>
      <c r="F1441" s="49"/>
      <c r="G1441" s="49"/>
      <c r="H1441" s="50"/>
    </row>
    <row r="1442" spans="1:8" ht="17.399999999999999">
      <c r="A1442" s="49"/>
      <c r="B1442" s="965" t="s">
        <v>1943</v>
      </c>
      <c r="C1442" s="49"/>
      <c r="D1442" s="49"/>
      <c r="E1442" s="49"/>
      <c r="F1442" s="49"/>
      <c r="G1442" s="49"/>
      <c r="H1442" s="50"/>
    </row>
    <row r="1443" spans="1:8" ht="15.6">
      <c r="A1443" s="49"/>
      <c r="B1443" s="49"/>
      <c r="C1443" s="49"/>
      <c r="D1443" s="49"/>
      <c r="E1443" s="49"/>
      <c r="F1443" s="49"/>
      <c r="G1443" s="49"/>
      <c r="H1443" s="50"/>
    </row>
    <row r="1444" spans="1:8" ht="18">
      <c r="A1444" s="51"/>
      <c r="B1444" s="51"/>
      <c r="C1444" s="51"/>
      <c r="D1444" s="51"/>
      <c r="E1444" s="51"/>
      <c r="F1444" s="51"/>
      <c r="G1444" s="1530" t="s">
        <v>1904</v>
      </c>
      <c r="H1444" s="1530"/>
    </row>
    <row r="1445" spans="1:8" ht="18">
      <c r="A1445" s="1530" t="s">
        <v>31</v>
      </c>
      <c r="B1445" s="1530"/>
      <c r="C1445" s="1530" t="s">
        <v>32</v>
      </c>
      <c r="D1445" s="1530"/>
      <c r="E1445" s="1530"/>
      <c r="F1445" s="958"/>
      <c r="G1445" s="1530" t="s">
        <v>33</v>
      </c>
      <c r="H1445" s="1530"/>
    </row>
    <row r="1446" spans="1:8" ht="18">
      <c r="A1446" s="958"/>
      <c r="B1446" s="958"/>
      <c r="C1446" s="958"/>
      <c r="D1446" s="958"/>
      <c r="E1446" s="958"/>
      <c r="F1446" s="958"/>
      <c r="G1446" s="958"/>
      <c r="H1446" s="958"/>
    </row>
    <row r="1447" spans="1:8" ht="18">
      <c r="A1447" s="958"/>
      <c r="B1447" s="958"/>
      <c r="C1447" s="958"/>
      <c r="D1447" s="958"/>
      <c r="E1447" s="958"/>
      <c r="F1447" s="958"/>
      <c r="G1447" s="958"/>
      <c r="H1447" s="958"/>
    </row>
    <row r="1448" spans="1:8" ht="18">
      <c r="A1448" s="958"/>
      <c r="B1448" s="958"/>
      <c r="C1448" s="958"/>
      <c r="D1448" s="958"/>
      <c r="E1448" s="958"/>
      <c r="F1448" s="958"/>
      <c r="G1448" s="958"/>
      <c r="H1448" s="958"/>
    </row>
    <row r="1449" spans="1:8" ht="18">
      <c r="A1449" s="1529" t="s">
        <v>1622</v>
      </c>
      <c r="B1449" s="1529"/>
      <c r="C1449" s="1529" t="s">
        <v>1603</v>
      </c>
      <c r="D1449" s="1529"/>
      <c r="E1449" s="1529"/>
      <c r="F1449" s="958"/>
      <c r="G1449" s="1529" t="s">
        <v>1661</v>
      </c>
      <c r="H1449" s="1529"/>
    </row>
    <row r="1450" spans="1:8" ht="18">
      <c r="A1450" s="1530" t="s">
        <v>37</v>
      </c>
      <c r="B1450" s="1530"/>
      <c r="C1450" s="1530" t="s">
        <v>1604</v>
      </c>
      <c r="D1450" s="1530"/>
      <c r="E1450" s="1530"/>
      <c r="F1450" s="958"/>
      <c r="G1450" s="1530" t="s">
        <v>39</v>
      </c>
      <c r="H1450" s="1530"/>
    </row>
    <row r="1451" spans="1:8" ht="28.5" customHeight="1"/>
    <row r="1452" spans="1:8" ht="26.25" customHeight="1"/>
    <row r="1453" spans="1:8" ht="31.2">
      <c r="A1453" s="597"/>
      <c r="B1453" s="597"/>
      <c r="C1453" s="1552" t="s">
        <v>235</v>
      </c>
      <c r="D1453" s="1552"/>
      <c r="E1453" s="1552"/>
      <c r="F1453" s="1552"/>
      <c r="G1453" s="1552"/>
      <c r="H1453" s="1552"/>
    </row>
    <row r="1454" spans="1:8" ht="28.8">
      <c r="A1454" s="597"/>
      <c r="B1454" s="597"/>
      <c r="C1454" s="1525" t="s">
        <v>1884</v>
      </c>
      <c r="D1454" s="1525"/>
      <c r="E1454" s="1525"/>
      <c r="F1454" s="1525"/>
      <c r="G1454" s="1525"/>
      <c r="H1454" s="1525"/>
    </row>
    <row r="1455" spans="1:8" ht="25.8">
      <c r="A1455" s="830"/>
      <c r="B1455" s="830"/>
      <c r="C1455" s="1525" t="s">
        <v>1885</v>
      </c>
      <c r="D1455" s="1525"/>
      <c r="E1455" s="1525"/>
      <c r="F1455" s="1525"/>
      <c r="G1455" s="1525"/>
      <c r="H1455" s="1525"/>
    </row>
    <row r="1456" spans="1:8" ht="15.6">
      <c r="A1456" s="769"/>
      <c r="B1456" s="769"/>
      <c r="C1456" s="769"/>
      <c r="D1456" s="769"/>
      <c r="E1456" s="769"/>
      <c r="F1456" s="769"/>
      <c r="G1456" s="769"/>
      <c r="H1456" s="769"/>
    </row>
    <row r="1457" spans="1:8" ht="15.6">
      <c r="A1457" s="769"/>
      <c r="B1457" s="769"/>
      <c r="C1457" s="769"/>
      <c r="D1457" s="769"/>
      <c r="E1457" s="769"/>
      <c r="F1457" s="769"/>
      <c r="G1457" s="769"/>
      <c r="H1457" s="769"/>
    </row>
    <row r="1458" spans="1:8" ht="18">
      <c r="A1458" s="1531" t="s">
        <v>3</v>
      </c>
      <c r="B1458" s="1531" t="s">
        <v>4</v>
      </c>
      <c r="C1458" s="1531" t="s">
        <v>5</v>
      </c>
      <c r="D1458" s="1531" t="s">
        <v>6</v>
      </c>
      <c r="E1458" s="1531" t="s">
        <v>7</v>
      </c>
      <c r="F1458" s="1001" t="s">
        <v>8</v>
      </c>
      <c r="G1458" s="1001" t="s">
        <v>9</v>
      </c>
      <c r="H1458" s="1001" t="s">
        <v>10</v>
      </c>
    </row>
    <row r="1459" spans="1:8" ht="18">
      <c r="A1459" s="1532"/>
      <c r="B1459" s="1532"/>
      <c r="C1459" s="1532"/>
      <c r="D1459" s="1532"/>
      <c r="E1459" s="1532"/>
      <c r="F1459" s="1002" t="s">
        <v>11</v>
      </c>
      <c r="G1459" s="1002" t="s">
        <v>11</v>
      </c>
      <c r="H1459" s="1002" t="s">
        <v>11</v>
      </c>
    </row>
    <row r="1460" spans="1:8" ht="18">
      <c r="A1460" s="1001" t="s">
        <v>12</v>
      </c>
      <c r="B1460" s="1019" t="s">
        <v>13</v>
      </c>
      <c r="C1460" s="1004"/>
      <c r="D1460" s="1005"/>
      <c r="E1460" s="1005"/>
      <c r="F1460" s="1005"/>
      <c r="G1460" s="1006"/>
      <c r="H1460" s="1007"/>
    </row>
    <row r="1461" spans="1:8" ht="18">
      <c r="A1461" s="1008"/>
      <c r="B1461" s="1021" t="s">
        <v>1888</v>
      </c>
      <c r="C1461" s="1010">
        <v>4</v>
      </c>
      <c r="D1461" s="1011" t="s">
        <v>44</v>
      </c>
      <c r="E1461" s="1011" t="s">
        <v>51</v>
      </c>
      <c r="F1461" s="1022">
        <v>480000</v>
      </c>
      <c r="G1461" s="1012">
        <f>C1461*F1461</f>
        <v>1920000</v>
      </c>
      <c r="H1461" s="1007"/>
    </row>
    <row r="1462" spans="1:8" ht="18">
      <c r="A1462" s="1008"/>
      <c r="B1462" s="1021" t="s">
        <v>1905</v>
      </c>
      <c r="C1462" s="1010"/>
      <c r="D1462" s="1011"/>
      <c r="E1462" s="1011"/>
      <c r="F1462" s="1022"/>
      <c r="G1462" s="1012"/>
      <c r="H1462" s="1007"/>
    </row>
    <row r="1463" spans="1:8" ht="18.600000000000001" thickBot="1">
      <c r="A1463" s="1008"/>
      <c r="B1463" s="1021" t="s">
        <v>1887</v>
      </c>
      <c r="C1463" s="1010">
        <v>4</v>
      </c>
      <c r="D1463" s="1011" t="s">
        <v>138</v>
      </c>
      <c r="E1463" s="1011" t="s">
        <v>410</v>
      </c>
      <c r="F1463" s="1022">
        <v>40000</v>
      </c>
      <c r="G1463" s="1012">
        <f>C1463*F1463</f>
        <v>160000</v>
      </c>
      <c r="H1463" s="1007"/>
    </row>
    <row r="1464" spans="1:8" ht="19.2" thickTop="1" thickBot="1">
      <c r="A1464" s="1008"/>
      <c r="B1464" s="1021"/>
      <c r="C1464" s="1010"/>
      <c r="D1464" s="1011"/>
      <c r="E1464" s="1011"/>
      <c r="F1464" s="1022"/>
      <c r="G1464" s="1012"/>
      <c r="H1464" s="1129">
        <f>G1461+G1463</f>
        <v>2080000</v>
      </c>
    </row>
    <row r="1465" spans="1:8" ht="18.600000000000001" thickTop="1">
      <c r="A1465" s="1008"/>
      <c r="B1465" s="1019"/>
      <c r="C1465" s="1010"/>
      <c r="D1465" s="1011"/>
      <c r="E1465" s="1011"/>
      <c r="F1465" s="1022"/>
      <c r="G1465" s="1012"/>
      <c r="H1465" s="1007"/>
    </row>
    <row r="1466" spans="1:8" ht="18">
      <c r="A1466" s="1111"/>
      <c r="B1466" s="1112"/>
      <c r="C1466" s="1112"/>
      <c r="D1466" s="1112"/>
      <c r="E1466" s="1112"/>
      <c r="F1466" s="1565" t="s">
        <v>1886</v>
      </c>
      <c r="G1466" s="1566"/>
      <c r="H1466" s="1115">
        <f>H1464</f>
        <v>2080000</v>
      </c>
    </row>
    <row r="1467" spans="1:8" ht="18">
      <c r="A1467" s="1083"/>
      <c r="B1467" s="1084"/>
      <c r="C1467" s="1084"/>
      <c r="D1467" s="1084"/>
      <c r="E1467" s="1084"/>
      <c r="F1467" s="1563" t="s">
        <v>460</v>
      </c>
      <c r="G1467" s="1564"/>
      <c r="H1467" s="1123"/>
    </row>
    <row r="1468" spans="1:8" ht="18">
      <c r="A1468" s="1083" t="s">
        <v>27</v>
      </c>
      <c r="B1468" s="1084"/>
      <c r="C1468" s="1084"/>
      <c r="D1468" s="1084"/>
      <c r="E1468" s="1084"/>
      <c r="F1468" s="1565" t="s">
        <v>28</v>
      </c>
      <c r="G1468" s="1566"/>
      <c r="H1468" s="1119">
        <f>H1466+H1467</f>
        <v>2080000</v>
      </c>
    </row>
    <row r="1469" spans="1:8" ht="18">
      <c r="A1469" s="1085"/>
      <c r="B1469" s="1086" t="s">
        <v>1903</v>
      </c>
      <c r="C1469" s="1120"/>
      <c r="D1469" s="1120"/>
      <c r="E1469" s="1120"/>
      <c r="F1469" s="1563" t="s">
        <v>30</v>
      </c>
      <c r="G1469" s="1564"/>
      <c r="H1469" s="1123">
        <f>ROUND(H1468,-2)</f>
        <v>2080000</v>
      </c>
    </row>
    <row r="1470" spans="1:8" ht="15.6">
      <c r="A1470" s="49"/>
      <c r="B1470" s="49"/>
      <c r="C1470" s="49"/>
      <c r="D1470" s="49"/>
      <c r="E1470" s="49"/>
      <c r="F1470" s="49"/>
      <c r="G1470" s="49"/>
      <c r="H1470" s="50"/>
    </row>
    <row r="1471" spans="1:8" ht="18">
      <c r="A1471" s="51"/>
      <c r="B1471" s="51"/>
      <c r="C1471" s="51"/>
      <c r="D1471" s="51"/>
      <c r="E1471" s="51"/>
      <c r="F1471" s="51"/>
      <c r="G1471" s="1530" t="s">
        <v>1904</v>
      </c>
      <c r="H1471" s="1530"/>
    </row>
    <row r="1472" spans="1:8" ht="18">
      <c r="A1472" s="1530" t="s">
        <v>31</v>
      </c>
      <c r="B1472" s="1530"/>
      <c r="C1472" s="1530" t="s">
        <v>32</v>
      </c>
      <c r="D1472" s="1530"/>
      <c r="E1472" s="1530"/>
      <c r="F1472" s="958"/>
      <c r="G1472" s="1530" t="s">
        <v>33</v>
      </c>
      <c r="H1472" s="1530"/>
    </row>
    <row r="1473" spans="1:8" ht="18">
      <c r="A1473" s="958"/>
      <c r="B1473" s="958"/>
      <c r="C1473" s="958"/>
      <c r="D1473" s="958"/>
      <c r="E1473" s="958"/>
      <c r="F1473" s="958"/>
      <c r="G1473" s="958"/>
      <c r="H1473" s="958"/>
    </row>
    <row r="1474" spans="1:8" ht="18">
      <c r="A1474" s="958"/>
      <c r="B1474" s="958"/>
      <c r="C1474" s="958"/>
      <c r="D1474" s="958"/>
      <c r="E1474" s="958"/>
      <c r="F1474" s="958"/>
      <c r="G1474" s="958"/>
      <c r="H1474" s="958"/>
    </row>
    <row r="1475" spans="1:8" ht="18">
      <c r="A1475" s="958"/>
      <c r="B1475" s="958"/>
      <c r="C1475" s="958"/>
      <c r="D1475" s="958"/>
      <c r="E1475" s="958"/>
      <c r="F1475" s="958"/>
      <c r="G1475" s="958"/>
      <c r="H1475" s="958"/>
    </row>
    <row r="1476" spans="1:8" ht="18">
      <c r="A1476" s="1529" t="s">
        <v>1622</v>
      </c>
      <c r="B1476" s="1529"/>
      <c r="C1476" s="1529" t="s">
        <v>1603</v>
      </c>
      <c r="D1476" s="1529"/>
      <c r="E1476" s="1529"/>
      <c r="F1476" s="958"/>
      <c r="G1476" s="1529" t="s">
        <v>1661</v>
      </c>
      <c r="H1476" s="1529"/>
    </row>
    <row r="1477" spans="1:8" ht="18">
      <c r="A1477" s="1530" t="s">
        <v>37</v>
      </c>
      <c r="B1477" s="1530"/>
      <c r="C1477" s="1530" t="s">
        <v>1604</v>
      </c>
      <c r="D1477" s="1530"/>
      <c r="E1477" s="1530"/>
      <c r="F1477" s="958"/>
      <c r="G1477" s="1530" t="s">
        <v>39</v>
      </c>
      <c r="H1477" s="1530"/>
    </row>
    <row r="1483" spans="1:8" ht="31.2">
      <c r="A1483" s="597"/>
      <c r="B1483" s="597"/>
      <c r="C1483" s="1552" t="s">
        <v>235</v>
      </c>
      <c r="D1483" s="1552"/>
      <c r="E1483" s="1552"/>
      <c r="F1483" s="1552"/>
      <c r="G1483" s="1552"/>
      <c r="H1483" s="1552"/>
    </row>
    <row r="1484" spans="1:8" ht="28.8">
      <c r="A1484" s="597"/>
      <c r="B1484" s="597"/>
      <c r="C1484" s="1525" t="s">
        <v>1882</v>
      </c>
      <c r="D1484" s="1525"/>
      <c r="E1484" s="1525"/>
      <c r="F1484" s="1525"/>
      <c r="G1484" s="1525"/>
      <c r="H1484" s="1525"/>
    </row>
    <row r="1485" spans="1:8" ht="25.8">
      <c r="A1485" s="830"/>
      <c r="B1485" s="830"/>
      <c r="C1485" s="1525" t="s">
        <v>1879</v>
      </c>
      <c r="D1485" s="1525"/>
      <c r="E1485" s="1525"/>
      <c r="F1485" s="1525"/>
      <c r="G1485" s="1525"/>
      <c r="H1485" s="1525"/>
    </row>
    <row r="1486" spans="1:8" ht="15.6">
      <c r="A1486" s="769"/>
      <c r="B1486" s="769"/>
      <c r="C1486" s="769"/>
      <c r="D1486" s="769"/>
      <c r="E1486" s="769"/>
      <c r="F1486" s="769"/>
      <c r="G1486" s="769"/>
      <c r="H1486" s="769"/>
    </row>
    <row r="1487" spans="1:8" ht="15.6">
      <c r="A1487" s="769"/>
      <c r="B1487" s="769"/>
      <c r="C1487" s="769"/>
      <c r="D1487" s="769"/>
      <c r="E1487" s="769"/>
      <c r="F1487" s="769"/>
      <c r="G1487" s="769"/>
      <c r="H1487" s="769"/>
    </row>
    <row r="1488" spans="1:8" ht="18">
      <c r="A1488" s="1531" t="s">
        <v>3</v>
      </c>
      <c r="B1488" s="1531" t="s">
        <v>4</v>
      </c>
      <c r="C1488" s="1531" t="s">
        <v>5</v>
      </c>
      <c r="D1488" s="1531" t="s">
        <v>6</v>
      </c>
      <c r="E1488" s="1531" t="s">
        <v>7</v>
      </c>
      <c r="F1488" s="1001" t="s">
        <v>8</v>
      </c>
      <c r="G1488" s="1001" t="s">
        <v>9</v>
      </c>
      <c r="H1488" s="1001" t="s">
        <v>10</v>
      </c>
    </row>
    <row r="1489" spans="1:8" ht="18">
      <c r="A1489" s="1532"/>
      <c r="B1489" s="1532"/>
      <c r="C1489" s="1532"/>
      <c r="D1489" s="1532"/>
      <c r="E1489" s="1532"/>
      <c r="F1489" s="1002" t="s">
        <v>11</v>
      </c>
      <c r="G1489" s="1002" t="s">
        <v>11</v>
      </c>
      <c r="H1489" s="1002" t="s">
        <v>11</v>
      </c>
    </row>
    <row r="1490" spans="1:8" ht="18">
      <c r="A1490" s="1001" t="s">
        <v>12</v>
      </c>
      <c r="B1490" s="1019" t="s">
        <v>13</v>
      </c>
      <c r="C1490" s="1004"/>
      <c r="D1490" s="1005"/>
      <c r="E1490" s="1005"/>
      <c r="F1490" s="1005"/>
      <c r="G1490" s="1006"/>
      <c r="H1490" s="1007"/>
    </row>
    <row r="1491" spans="1:8" ht="18">
      <c r="A1491" s="1008"/>
      <c r="B1491" s="1021" t="s">
        <v>1880</v>
      </c>
      <c r="C1491" s="1010">
        <v>7</v>
      </c>
      <c r="D1491" s="1011" t="s">
        <v>84</v>
      </c>
      <c r="E1491" s="1011" t="s">
        <v>1960</v>
      </c>
      <c r="F1491" s="1022">
        <v>401115</v>
      </c>
      <c r="G1491" s="1012">
        <f>C1491*F1491</f>
        <v>2807805</v>
      </c>
      <c r="H1491" s="1007"/>
    </row>
    <row r="1492" spans="1:8" ht="18">
      <c r="A1492" s="1008"/>
      <c r="B1492" s="1021" t="s">
        <v>1891</v>
      </c>
      <c r="C1492" s="1010"/>
      <c r="D1492" s="1011"/>
      <c r="E1492" s="1011"/>
      <c r="F1492" s="1022"/>
      <c r="G1492" s="1012"/>
      <c r="H1492" s="1007"/>
    </row>
    <row r="1493" spans="1:8" ht="18">
      <c r="A1493" s="1008"/>
      <c r="B1493" s="1021" t="s">
        <v>1893</v>
      </c>
      <c r="C1493" s="1010">
        <v>28</v>
      </c>
      <c r="D1493" s="1011" t="s">
        <v>44</v>
      </c>
      <c r="E1493" s="1011" t="s">
        <v>410</v>
      </c>
      <c r="F1493" s="1022">
        <v>1300</v>
      </c>
      <c r="G1493" s="1012">
        <f>C1493*F1493</f>
        <v>36400</v>
      </c>
      <c r="H1493" s="1007"/>
    </row>
    <row r="1494" spans="1:8" ht="18.600000000000001" thickBot="1">
      <c r="A1494" s="1008"/>
      <c r="B1494" s="1021" t="s">
        <v>1892</v>
      </c>
      <c r="C1494" s="1010">
        <v>28</v>
      </c>
      <c r="D1494" s="1011" t="s">
        <v>44</v>
      </c>
      <c r="E1494" s="1011" t="s">
        <v>410</v>
      </c>
      <c r="F1494" s="1022">
        <v>6000</v>
      </c>
      <c r="G1494" s="1012">
        <f>C1494*F1494</f>
        <v>168000</v>
      </c>
      <c r="H1494" s="1007"/>
    </row>
    <row r="1495" spans="1:8" ht="19.2" thickTop="1" thickBot="1">
      <c r="A1495" s="1008"/>
      <c r="B1495" s="1021"/>
      <c r="C1495" s="1010"/>
      <c r="D1495" s="1011"/>
      <c r="E1495" s="1011"/>
      <c r="F1495" s="1022"/>
      <c r="G1495" s="1012"/>
      <c r="H1495" s="1129">
        <f>SUM(G1491:G1494)</f>
        <v>3012205</v>
      </c>
    </row>
    <row r="1496" spans="1:8" ht="18.600000000000001" thickTop="1">
      <c r="A1496" s="1008" t="s">
        <v>18</v>
      </c>
      <c r="B1496" s="1128" t="s">
        <v>19</v>
      </c>
      <c r="C1496" s="1010"/>
      <c r="D1496" s="1011"/>
      <c r="E1496" s="1011"/>
      <c r="F1496" s="1022"/>
      <c r="G1496" s="1012"/>
      <c r="H1496" s="1007"/>
    </row>
    <row r="1497" spans="1:8" ht="18">
      <c r="A1497" s="1008"/>
      <c r="B1497" s="1021" t="s">
        <v>1881</v>
      </c>
      <c r="C1497" s="1010">
        <v>26.12</v>
      </c>
      <c r="D1497" s="1011" t="s">
        <v>245</v>
      </c>
      <c r="E1497" s="1011" t="s">
        <v>1960</v>
      </c>
      <c r="F1497" s="1022">
        <v>27500</v>
      </c>
      <c r="G1497" s="1012">
        <f>C1497*F1497</f>
        <v>718300</v>
      </c>
      <c r="H1497" s="1007"/>
    </row>
    <row r="1498" spans="1:8" ht="18">
      <c r="A1498" s="1008"/>
      <c r="B1498" s="1021" t="s">
        <v>1890</v>
      </c>
      <c r="C1498" s="1010">
        <v>10.92</v>
      </c>
      <c r="D1498" s="1011" t="s">
        <v>403</v>
      </c>
      <c r="E1498" s="1011" t="s">
        <v>1889</v>
      </c>
      <c r="F1498" s="1022">
        <v>12795.5</v>
      </c>
      <c r="G1498" s="1012">
        <f>F1498*C1498</f>
        <v>139726.85999999999</v>
      </c>
      <c r="H1498" s="1007"/>
    </row>
    <row r="1499" spans="1:8" ht="18">
      <c r="A1499" s="1008"/>
      <c r="B1499" s="1019"/>
      <c r="C1499" s="1010"/>
      <c r="D1499" s="1011"/>
      <c r="E1499" s="1011"/>
      <c r="F1499" s="1022"/>
      <c r="G1499" s="1012"/>
      <c r="H1499" s="1007"/>
    </row>
    <row r="1500" spans="1:8" ht="18">
      <c r="A1500" s="1111"/>
      <c r="B1500" s="1112"/>
      <c r="C1500" s="1112"/>
      <c r="D1500" s="1112"/>
      <c r="E1500" s="1112"/>
      <c r="F1500" s="1565" t="s">
        <v>1883</v>
      </c>
      <c r="G1500" s="1566"/>
      <c r="H1500" s="1115">
        <f>G1497+G1498</f>
        <v>858026.86</v>
      </c>
    </row>
    <row r="1501" spans="1:8" ht="18">
      <c r="A1501" s="1083"/>
      <c r="B1501" s="1084"/>
      <c r="C1501" s="1084"/>
      <c r="D1501" s="1084"/>
      <c r="E1501" s="1084"/>
      <c r="F1501" s="1563" t="s">
        <v>460</v>
      </c>
      <c r="G1501" s="1564"/>
      <c r="H1501" s="1123"/>
    </row>
    <row r="1502" spans="1:8" ht="18">
      <c r="A1502" s="1083" t="s">
        <v>27</v>
      </c>
      <c r="B1502" s="1084"/>
      <c r="C1502" s="1084"/>
      <c r="D1502" s="1084"/>
      <c r="E1502" s="1084"/>
      <c r="F1502" s="1568" t="s">
        <v>28</v>
      </c>
      <c r="G1502" s="1569"/>
      <c r="H1502" s="1119">
        <f>H1495+H1500+J1426</f>
        <v>3956034.5460000001</v>
      </c>
    </row>
    <row r="1503" spans="1:8" ht="18">
      <c r="A1503" s="1085"/>
      <c r="B1503" s="1086" t="s">
        <v>1961</v>
      </c>
      <c r="C1503" s="1120"/>
      <c r="D1503" s="1120"/>
      <c r="E1503" s="1120"/>
      <c r="F1503" s="1563" t="s">
        <v>30</v>
      </c>
      <c r="G1503" s="1564"/>
      <c r="H1503" s="1123">
        <f>ROUND(H1502,-2)</f>
        <v>3956000</v>
      </c>
    </row>
    <row r="1504" spans="1:8" ht="28.5" customHeight="1">
      <c r="A1504" s="49"/>
      <c r="B1504" s="49"/>
      <c r="C1504" s="49"/>
      <c r="D1504" s="49"/>
      <c r="E1504" s="49"/>
      <c r="F1504" s="49"/>
      <c r="G1504" s="49"/>
      <c r="H1504" s="50"/>
    </row>
    <row r="1505" spans="1:8" ht="18">
      <c r="A1505" s="51"/>
      <c r="B1505" s="51"/>
      <c r="C1505" s="51"/>
      <c r="D1505" s="51"/>
      <c r="E1505" s="51"/>
      <c r="F1505" s="51"/>
      <c r="G1505" s="1530" t="s">
        <v>1949</v>
      </c>
      <c r="H1505" s="1530"/>
    </row>
    <row r="1506" spans="1:8" ht="18">
      <c r="A1506" s="1530" t="s">
        <v>31</v>
      </c>
      <c r="B1506" s="1530"/>
      <c r="C1506" s="1530" t="s">
        <v>32</v>
      </c>
      <c r="D1506" s="1530"/>
      <c r="E1506" s="1530"/>
      <c r="F1506" s="958"/>
      <c r="G1506" s="1530" t="s">
        <v>33</v>
      </c>
      <c r="H1506" s="1530"/>
    </row>
    <row r="1507" spans="1:8" ht="18">
      <c r="A1507" s="958"/>
      <c r="B1507" s="958"/>
      <c r="C1507" s="958"/>
      <c r="D1507" s="958"/>
      <c r="E1507" s="958"/>
      <c r="F1507" s="958"/>
      <c r="G1507" s="958"/>
      <c r="H1507" s="958"/>
    </row>
    <row r="1508" spans="1:8" ht="18">
      <c r="A1508" s="958"/>
      <c r="B1508" s="958"/>
      <c r="C1508" s="958"/>
      <c r="D1508" s="958"/>
      <c r="E1508" s="958"/>
      <c r="F1508" s="958"/>
      <c r="G1508" s="958"/>
      <c r="H1508" s="958"/>
    </row>
    <row r="1509" spans="1:8" ht="18">
      <c r="A1509" s="958"/>
      <c r="B1509" s="958"/>
      <c r="C1509" s="958"/>
      <c r="D1509" s="958"/>
      <c r="E1509" s="958"/>
      <c r="F1509" s="958"/>
      <c r="G1509" s="958"/>
      <c r="H1509" s="958"/>
    </row>
    <row r="1510" spans="1:8" ht="18">
      <c r="A1510" s="1529" t="s">
        <v>2029</v>
      </c>
      <c r="B1510" s="1529"/>
      <c r="C1510" s="1529" t="s">
        <v>1603</v>
      </c>
      <c r="D1510" s="1529"/>
      <c r="E1510" s="1529"/>
      <c r="F1510" s="958"/>
      <c r="G1510" s="1529" t="s">
        <v>1661</v>
      </c>
      <c r="H1510" s="1529"/>
    </row>
    <row r="1511" spans="1:8" ht="18">
      <c r="A1511" s="1530" t="s">
        <v>2030</v>
      </c>
      <c r="B1511" s="1530"/>
      <c r="C1511" s="1530" t="s">
        <v>1604</v>
      </c>
      <c r="D1511" s="1530"/>
      <c r="E1511" s="1530"/>
      <c r="F1511" s="958"/>
      <c r="G1511" s="1530" t="s">
        <v>39</v>
      </c>
      <c r="H1511" s="1530"/>
    </row>
    <row r="1519" spans="1:8" ht="31.2">
      <c r="A1519" s="597"/>
      <c r="B1519" s="597"/>
      <c r="C1519" s="1552" t="s">
        <v>235</v>
      </c>
      <c r="D1519" s="1552"/>
      <c r="E1519" s="1552"/>
      <c r="F1519" s="1552"/>
      <c r="G1519" s="1552"/>
      <c r="H1519" s="1552"/>
    </row>
    <row r="1520" spans="1:8" ht="28.8">
      <c r="A1520" s="597"/>
      <c r="B1520" s="597"/>
      <c r="C1520" s="1525" t="s">
        <v>1869</v>
      </c>
      <c r="D1520" s="1525"/>
      <c r="E1520" s="1525"/>
      <c r="F1520" s="1525"/>
      <c r="G1520" s="1525"/>
      <c r="H1520" s="1525"/>
    </row>
    <row r="1521" spans="1:8" ht="25.8">
      <c r="A1521" s="830"/>
      <c r="B1521" s="830"/>
      <c r="C1521" s="1525"/>
      <c r="D1521" s="1525"/>
      <c r="E1521" s="1525"/>
      <c r="F1521" s="1525"/>
      <c r="G1521" s="1525"/>
      <c r="H1521" s="1525"/>
    </row>
    <row r="1522" spans="1:8" ht="15.6">
      <c r="A1522" s="769"/>
      <c r="B1522" s="769"/>
      <c r="C1522" s="769"/>
      <c r="D1522" s="769"/>
      <c r="E1522" s="769"/>
      <c r="F1522" s="769"/>
      <c r="G1522" s="769"/>
      <c r="H1522" s="769"/>
    </row>
    <row r="1523" spans="1:8" ht="15.6">
      <c r="A1523" s="769"/>
      <c r="B1523" s="769"/>
      <c r="C1523" s="769"/>
      <c r="D1523" s="769"/>
      <c r="E1523" s="769"/>
      <c r="F1523" s="769"/>
      <c r="G1523" s="769"/>
      <c r="H1523" s="769"/>
    </row>
    <row r="1524" spans="1:8" ht="18">
      <c r="A1524" s="1531" t="s">
        <v>3</v>
      </c>
      <c r="B1524" s="1531" t="s">
        <v>4</v>
      </c>
      <c r="C1524" s="1531" t="s">
        <v>5</v>
      </c>
      <c r="D1524" s="1531" t="s">
        <v>6</v>
      </c>
      <c r="E1524" s="1531" t="s">
        <v>7</v>
      </c>
      <c r="F1524" s="1001" t="s">
        <v>8</v>
      </c>
      <c r="G1524" s="1001" t="s">
        <v>9</v>
      </c>
      <c r="H1524" s="1001" t="s">
        <v>10</v>
      </c>
    </row>
    <row r="1525" spans="1:8" ht="18">
      <c r="A1525" s="1532"/>
      <c r="B1525" s="1532"/>
      <c r="C1525" s="1532"/>
      <c r="D1525" s="1532"/>
      <c r="E1525" s="1532"/>
      <c r="F1525" s="1002" t="s">
        <v>11</v>
      </c>
      <c r="G1525" s="1002" t="s">
        <v>11</v>
      </c>
      <c r="H1525" s="1002" t="s">
        <v>11</v>
      </c>
    </row>
    <row r="1526" spans="1:8" ht="18">
      <c r="A1526" s="1001" t="s">
        <v>12</v>
      </c>
      <c r="B1526" s="1019" t="s">
        <v>364</v>
      </c>
      <c r="C1526" s="1004"/>
      <c r="D1526" s="1005"/>
      <c r="E1526" s="1005"/>
      <c r="F1526" s="1005"/>
      <c r="G1526" s="1006"/>
      <c r="H1526" s="1007"/>
    </row>
    <row r="1527" spans="1:8" ht="18">
      <c r="A1527" s="1008"/>
      <c r="B1527" s="1021" t="s">
        <v>1871</v>
      </c>
      <c r="C1527" s="1010">
        <v>20</v>
      </c>
      <c r="D1527" s="1011" t="s">
        <v>1870</v>
      </c>
      <c r="E1527" s="1011" t="s">
        <v>82</v>
      </c>
      <c r="F1527" s="1022">
        <v>400000</v>
      </c>
      <c r="G1527" s="1012">
        <f>C1527*F1527</f>
        <v>8000000</v>
      </c>
      <c r="H1527" s="1007"/>
    </row>
    <row r="1528" spans="1:8" ht="18">
      <c r="A1528" s="1008"/>
      <c r="B1528" s="1021" t="s">
        <v>1872</v>
      </c>
      <c r="C1528" s="1010">
        <v>40</v>
      </c>
      <c r="D1528" s="1011" t="s">
        <v>1870</v>
      </c>
      <c r="E1528" s="1011" t="s">
        <v>82</v>
      </c>
      <c r="F1528" s="1022">
        <v>50000</v>
      </c>
      <c r="G1528" s="1012">
        <f>C1528*F1528</f>
        <v>2000000</v>
      </c>
      <c r="H1528" s="1007"/>
    </row>
    <row r="1529" spans="1:8" ht="18">
      <c r="A1529" s="1008"/>
      <c r="B1529" s="1021"/>
      <c r="C1529" s="1010"/>
      <c r="D1529" s="1011"/>
      <c r="E1529" s="1011"/>
      <c r="F1529" s="1022"/>
      <c r="G1529" s="1012"/>
      <c r="H1529" s="1007"/>
    </row>
    <row r="1530" spans="1:8" ht="18">
      <c r="A1530" s="1008" t="s">
        <v>18</v>
      </c>
      <c r="B1530" s="1019" t="s">
        <v>1873</v>
      </c>
      <c r="C1530" s="1010"/>
      <c r="D1530" s="1011"/>
      <c r="E1530" s="1011"/>
      <c r="F1530" s="1022"/>
      <c r="G1530" s="1012"/>
      <c r="H1530" s="1007"/>
    </row>
    <row r="1531" spans="1:8" ht="18">
      <c r="A1531" s="1008"/>
      <c r="B1531" s="1021" t="s">
        <v>1874</v>
      </c>
      <c r="C1531" s="1010">
        <v>3</v>
      </c>
      <c r="D1531" s="1011" t="s">
        <v>1870</v>
      </c>
      <c r="E1531" s="1011" t="s">
        <v>82</v>
      </c>
      <c r="F1531" s="1022">
        <v>1500000</v>
      </c>
      <c r="G1531" s="1012">
        <f>C1531*F1531</f>
        <v>4500000</v>
      </c>
      <c r="H1531" s="1007"/>
    </row>
    <row r="1532" spans="1:8" ht="18">
      <c r="A1532" s="1013"/>
      <c r="B1532" s="1014"/>
      <c r="C1532" s="1015"/>
      <c r="D1532" s="1016"/>
      <c r="E1532" s="1016"/>
      <c r="F1532" s="1017"/>
      <c r="G1532" s="1017"/>
      <c r="H1532" s="1018">
        <f>SUM(G1527:G1531)</f>
        <v>14500000</v>
      </c>
    </row>
    <row r="1533" spans="1:8" ht="18">
      <c r="A1533" s="1125"/>
      <c r="B1533" s="1126"/>
      <c r="C1533" s="1126"/>
      <c r="D1533" s="1126"/>
      <c r="E1533" s="1126"/>
      <c r="F1533" s="1127"/>
      <c r="G1533" s="1081" t="s">
        <v>28</v>
      </c>
      <c r="H1533" s="1082">
        <f>H1532</f>
        <v>14500000</v>
      </c>
    </row>
    <row r="1534" spans="1:8" ht="15.6">
      <c r="A1534" s="49"/>
      <c r="B1534" s="49"/>
      <c r="C1534" s="49"/>
      <c r="D1534" s="49"/>
      <c r="E1534" s="49"/>
      <c r="F1534" s="49"/>
      <c r="G1534" s="49"/>
      <c r="H1534" s="50"/>
    </row>
    <row r="1535" spans="1:8" ht="18">
      <c r="A1535" s="768" t="s">
        <v>1150</v>
      </c>
      <c r="B1535" s="49"/>
      <c r="C1535" s="49"/>
      <c r="D1535" s="49"/>
      <c r="E1535" s="49"/>
      <c r="F1535" s="49"/>
      <c r="G1535" s="49"/>
      <c r="H1535" s="50"/>
    </row>
    <row r="1536" spans="1:8" ht="17.399999999999999">
      <c r="A1536" s="49"/>
      <c r="B1536" s="965" t="s">
        <v>1875</v>
      </c>
      <c r="C1536" s="49"/>
      <c r="D1536" s="49"/>
      <c r="E1536" s="49"/>
      <c r="F1536" s="49"/>
      <c r="G1536" s="49"/>
      <c r="H1536" s="50"/>
    </row>
    <row r="1537" spans="1:8" ht="15.6">
      <c r="A1537" s="49"/>
      <c r="B1537" s="49"/>
      <c r="C1537" s="49"/>
      <c r="D1537" s="49"/>
      <c r="E1537" s="49"/>
      <c r="F1537" s="49"/>
      <c r="G1537" s="49"/>
      <c r="H1537" s="50"/>
    </row>
    <row r="1538" spans="1:8" ht="18">
      <c r="A1538" s="51"/>
      <c r="B1538" s="51"/>
      <c r="C1538" s="51"/>
      <c r="D1538" s="51"/>
      <c r="E1538" s="51"/>
      <c r="F1538" s="51"/>
      <c r="G1538" s="1530" t="s">
        <v>1863</v>
      </c>
      <c r="H1538" s="1530"/>
    </row>
    <row r="1539" spans="1:8" ht="18">
      <c r="A1539" s="1530" t="s">
        <v>31</v>
      </c>
      <c r="B1539" s="1530"/>
      <c r="C1539" s="1530" t="s">
        <v>32</v>
      </c>
      <c r="D1539" s="1530"/>
      <c r="E1539" s="1530"/>
      <c r="F1539" s="958"/>
      <c r="G1539" s="1530" t="s">
        <v>33</v>
      </c>
      <c r="H1539" s="1530"/>
    </row>
    <row r="1540" spans="1:8" ht="18">
      <c r="A1540" s="958"/>
      <c r="B1540" s="958"/>
      <c r="C1540" s="958"/>
      <c r="D1540" s="958"/>
      <c r="E1540" s="958"/>
      <c r="F1540" s="958"/>
      <c r="G1540" s="958"/>
      <c r="H1540" s="958"/>
    </row>
    <row r="1541" spans="1:8" ht="18">
      <c r="A1541" s="958"/>
      <c r="B1541" s="958"/>
      <c r="C1541" s="958"/>
      <c r="D1541" s="958"/>
      <c r="E1541" s="958"/>
      <c r="F1541" s="958"/>
      <c r="G1541" s="958"/>
      <c r="H1541" s="958"/>
    </row>
    <row r="1542" spans="1:8" ht="18">
      <c r="A1542" s="958"/>
      <c r="B1542" s="958"/>
      <c r="C1542" s="958"/>
      <c r="D1542" s="958"/>
      <c r="E1542" s="958"/>
      <c r="F1542" s="958"/>
      <c r="G1542" s="958"/>
      <c r="H1542" s="958"/>
    </row>
    <row r="1543" spans="1:8" ht="18">
      <c r="A1543" s="1529" t="s">
        <v>1622</v>
      </c>
      <c r="B1543" s="1529"/>
      <c r="C1543" s="1529" t="s">
        <v>1603</v>
      </c>
      <c r="D1543" s="1529"/>
      <c r="E1543" s="1529"/>
      <c r="F1543" s="958"/>
      <c r="G1543" s="1529" t="s">
        <v>1778</v>
      </c>
      <c r="H1543" s="1529"/>
    </row>
    <row r="1544" spans="1:8" ht="18">
      <c r="A1544" s="1530" t="s">
        <v>37</v>
      </c>
      <c r="B1544" s="1530"/>
      <c r="C1544" s="1530" t="s">
        <v>1604</v>
      </c>
      <c r="D1544" s="1530"/>
      <c r="E1544" s="1530"/>
      <c r="F1544" s="958"/>
      <c r="G1544" s="1530" t="s">
        <v>39</v>
      </c>
      <c r="H1544" s="1530"/>
    </row>
    <row r="1546" spans="1:8" ht="28.5" customHeight="1"/>
    <row r="1563" spans="1:8" ht="31.2">
      <c r="A1563" s="1552" t="s">
        <v>235</v>
      </c>
      <c r="B1563" s="1552"/>
      <c r="C1563" s="1552"/>
      <c r="D1563" s="1552"/>
      <c r="E1563" s="1552"/>
      <c r="F1563" s="1552"/>
      <c r="G1563" s="1552"/>
      <c r="H1563" s="1552"/>
    </row>
    <row r="1564" spans="1:8" ht="25.8">
      <c r="A1564" s="1525" t="s">
        <v>1858</v>
      </c>
      <c r="B1564" s="1525"/>
      <c r="C1564" s="1525"/>
      <c r="D1564" s="1525"/>
      <c r="E1564" s="1525"/>
      <c r="F1564" s="1525"/>
      <c r="G1564" s="1525"/>
      <c r="H1564" s="1525"/>
    </row>
    <row r="1565" spans="1:8" ht="25.8">
      <c r="A1565" s="1525" t="s">
        <v>1859</v>
      </c>
      <c r="B1565" s="1525"/>
      <c r="C1565" s="1525"/>
      <c r="D1565" s="1525"/>
      <c r="E1565" s="1525"/>
      <c r="F1565" s="1525"/>
      <c r="G1565" s="1525"/>
      <c r="H1565" s="1525"/>
    </row>
    <row r="1566" spans="1:8" ht="15.6">
      <c r="A1566" s="769"/>
      <c r="B1566" s="769"/>
      <c r="C1566" s="769"/>
      <c r="D1566" s="769"/>
      <c r="E1566" s="769"/>
      <c r="F1566" s="769"/>
      <c r="G1566" s="769"/>
      <c r="H1566" s="769"/>
    </row>
    <row r="1567" spans="1:8" ht="15.6">
      <c r="A1567" s="769"/>
      <c r="B1567" s="769"/>
      <c r="C1567" s="769"/>
      <c r="D1567" s="769"/>
      <c r="E1567" s="769"/>
      <c r="F1567" s="769"/>
      <c r="G1567" s="769"/>
      <c r="H1567" s="769"/>
    </row>
    <row r="1568" spans="1:8" ht="18">
      <c r="A1568" s="1531" t="s">
        <v>3</v>
      </c>
      <c r="B1568" s="1531" t="s">
        <v>4</v>
      </c>
      <c r="C1568" s="1531" t="s">
        <v>5</v>
      </c>
      <c r="D1568" s="1531" t="s">
        <v>6</v>
      </c>
      <c r="E1568" s="1531" t="s">
        <v>7</v>
      </c>
      <c r="F1568" s="1001" t="s">
        <v>8</v>
      </c>
      <c r="G1568" s="1001" t="s">
        <v>9</v>
      </c>
      <c r="H1568" s="1001" t="s">
        <v>10</v>
      </c>
    </row>
    <row r="1569" spans="1:8" ht="18">
      <c r="A1569" s="1532"/>
      <c r="B1569" s="1532"/>
      <c r="C1569" s="1532"/>
      <c r="D1569" s="1532"/>
      <c r="E1569" s="1532"/>
      <c r="F1569" s="1002" t="s">
        <v>11</v>
      </c>
      <c r="G1569" s="1002" t="s">
        <v>11</v>
      </c>
      <c r="H1569" s="1002" t="s">
        <v>11</v>
      </c>
    </row>
    <row r="1570" spans="1:8" ht="18">
      <c r="A1570" s="1001" t="s">
        <v>12</v>
      </c>
      <c r="B1570" s="1019" t="s">
        <v>19</v>
      </c>
      <c r="C1570" s="1004"/>
      <c r="D1570" s="1005"/>
      <c r="E1570" s="1005"/>
      <c r="F1570" s="1005"/>
      <c r="G1570" s="1006"/>
      <c r="H1570" s="1007"/>
    </row>
    <row r="1571" spans="1:8" ht="18">
      <c r="A1571" s="1008"/>
      <c r="B1571" s="1021" t="s">
        <v>1876</v>
      </c>
      <c r="C1571" s="1010">
        <v>2</v>
      </c>
      <c r="D1571" s="1011" t="s">
        <v>1878</v>
      </c>
      <c r="E1571" s="1011" t="s">
        <v>82</v>
      </c>
      <c r="F1571" s="1022">
        <v>135000</v>
      </c>
      <c r="G1571" s="1012">
        <f>C1571*F1571</f>
        <v>270000</v>
      </c>
      <c r="H1571" s="1007"/>
    </row>
    <row r="1572" spans="1:8" ht="18">
      <c r="A1572" s="1008"/>
      <c r="B1572" s="1021" t="s">
        <v>1877</v>
      </c>
      <c r="C1572" s="1010">
        <v>4</v>
      </c>
      <c r="D1572" s="1011" t="s">
        <v>1878</v>
      </c>
      <c r="E1572" s="1011" t="s">
        <v>82</v>
      </c>
      <c r="F1572" s="1022">
        <v>90000</v>
      </c>
      <c r="G1572" s="1012">
        <f>C1572*F1572</f>
        <v>360000</v>
      </c>
      <c r="H1572" s="1007"/>
    </row>
    <row r="1573" spans="1:8" ht="18">
      <c r="A1573" s="1008"/>
      <c r="B1573" s="1021" t="s">
        <v>1860</v>
      </c>
      <c r="C1573" s="1010">
        <v>1</v>
      </c>
      <c r="D1573" s="1011" t="s">
        <v>416</v>
      </c>
      <c r="E1573" s="1011" t="s">
        <v>82</v>
      </c>
      <c r="F1573" s="1022">
        <v>200000</v>
      </c>
      <c r="G1573" s="1012">
        <f>C1573*F1573</f>
        <v>200000</v>
      </c>
      <c r="H1573" s="1007"/>
    </row>
    <row r="1574" spans="1:8" ht="18">
      <c r="A1574" s="1008"/>
      <c r="B1574" s="1021" t="s">
        <v>1861</v>
      </c>
      <c r="C1574" s="1010">
        <v>10</v>
      </c>
      <c r="D1574" s="1011" t="s">
        <v>1862</v>
      </c>
      <c r="E1574" s="1011" t="s">
        <v>51</v>
      </c>
      <c r="F1574" s="1022">
        <v>10000</v>
      </c>
      <c r="G1574" s="1012">
        <f>C1574*F1574</f>
        <v>100000</v>
      </c>
      <c r="H1574" s="1007"/>
    </row>
    <row r="1575" spans="1:8" ht="18">
      <c r="A1575" s="1008"/>
      <c r="B1575" s="1021" t="s">
        <v>458</v>
      </c>
      <c r="C1575" s="1010">
        <v>1</v>
      </c>
      <c r="D1575" s="1011" t="s">
        <v>126</v>
      </c>
      <c r="E1575" s="1011" t="s">
        <v>51</v>
      </c>
      <c r="F1575" s="1022">
        <v>50000</v>
      </c>
      <c r="G1575" s="1012">
        <f>C1575*F1575</f>
        <v>50000</v>
      </c>
      <c r="H1575" s="1007"/>
    </row>
    <row r="1576" spans="1:8" ht="18">
      <c r="A1576" s="1013"/>
      <c r="B1576" s="1014"/>
      <c r="C1576" s="1015"/>
      <c r="D1576" s="1016"/>
      <c r="E1576" s="1016"/>
      <c r="F1576" s="1017"/>
      <c r="G1576" s="1017"/>
      <c r="H1576" s="1018">
        <f>SUM(G1571:G1575)</f>
        <v>980000</v>
      </c>
    </row>
    <row r="1577" spans="1:8" ht="18">
      <c r="A1577" s="1125"/>
      <c r="B1577" s="1126"/>
      <c r="C1577" s="1126"/>
      <c r="D1577" s="1126"/>
      <c r="E1577" s="1126"/>
      <c r="F1577" s="1127"/>
      <c r="G1577" s="1081" t="s">
        <v>28</v>
      </c>
      <c r="H1577" s="1082">
        <f>H1576</f>
        <v>980000</v>
      </c>
    </row>
    <row r="1578" spans="1:8" ht="15.6">
      <c r="A1578" s="49"/>
      <c r="B1578" s="49"/>
      <c r="C1578" s="49"/>
      <c r="D1578" s="49"/>
      <c r="E1578" s="49"/>
      <c r="F1578" s="49"/>
      <c r="G1578" s="49"/>
      <c r="H1578" s="50"/>
    </row>
    <row r="1579" spans="1:8" ht="18">
      <c r="A1579" s="768" t="s">
        <v>1150</v>
      </c>
      <c r="B1579" s="49"/>
      <c r="C1579" s="49"/>
      <c r="D1579" s="49"/>
      <c r="E1579" s="49"/>
      <c r="F1579" s="49"/>
      <c r="G1579" s="49"/>
      <c r="H1579" s="50"/>
    </row>
    <row r="1580" spans="1:8" ht="51" customHeight="1">
      <c r="A1580" s="49"/>
      <c r="B1580" s="965" t="s">
        <v>1868</v>
      </c>
      <c r="C1580" s="49"/>
      <c r="D1580" s="49"/>
      <c r="E1580" s="49"/>
      <c r="F1580" s="49"/>
      <c r="G1580" s="49"/>
      <c r="H1580" s="50"/>
    </row>
    <row r="1581" spans="1:8" ht="49.5" customHeight="1">
      <c r="A1581" s="49"/>
      <c r="B1581" s="49"/>
      <c r="C1581" s="49"/>
      <c r="D1581" s="49"/>
      <c r="E1581" s="49"/>
      <c r="F1581" s="49"/>
      <c r="G1581" s="49"/>
      <c r="H1581" s="50"/>
    </row>
    <row r="1582" spans="1:8" ht="18">
      <c r="A1582" s="51"/>
      <c r="B1582" s="51"/>
      <c r="C1582" s="51"/>
      <c r="D1582" s="51"/>
      <c r="E1582" s="51"/>
      <c r="F1582" s="51"/>
      <c r="G1582" s="1530" t="s">
        <v>1863</v>
      </c>
      <c r="H1582" s="1530"/>
    </row>
    <row r="1583" spans="1:8" ht="18">
      <c r="A1583" s="1530" t="s">
        <v>31</v>
      </c>
      <c r="B1583" s="1530"/>
      <c r="C1583" s="1530" t="s">
        <v>32</v>
      </c>
      <c r="D1583" s="1530"/>
      <c r="E1583" s="1530"/>
      <c r="F1583" s="958"/>
      <c r="G1583" s="1530" t="s">
        <v>33</v>
      </c>
      <c r="H1583" s="1530"/>
    </row>
    <row r="1584" spans="1:8" ht="18">
      <c r="A1584" s="958"/>
      <c r="B1584" s="958"/>
      <c r="C1584" s="958"/>
      <c r="D1584" s="958"/>
      <c r="E1584" s="958"/>
      <c r="F1584" s="958"/>
      <c r="G1584" s="958"/>
      <c r="H1584" s="958"/>
    </row>
    <row r="1585" spans="1:8" ht="18">
      <c r="A1585" s="958"/>
      <c r="B1585" s="958"/>
      <c r="C1585" s="958"/>
      <c r="D1585" s="958"/>
      <c r="E1585" s="958"/>
      <c r="F1585" s="958"/>
      <c r="G1585" s="958"/>
      <c r="H1585" s="958"/>
    </row>
    <row r="1586" spans="1:8" ht="18">
      <c r="A1586" s="958"/>
      <c r="B1586" s="958"/>
      <c r="C1586" s="958"/>
      <c r="D1586" s="958"/>
      <c r="E1586" s="958"/>
      <c r="F1586" s="958"/>
      <c r="G1586" s="958"/>
      <c r="H1586" s="958"/>
    </row>
    <row r="1587" spans="1:8" ht="18">
      <c r="A1587" s="1529" t="s">
        <v>1622</v>
      </c>
      <c r="B1587" s="1529"/>
      <c r="C1587" s="1529" t="s">
        <v>1603</v>
      </c>
      <c r="D1587" s="1529"/>
      <c r="E1587" s="1529"/>
      <c r="F1587" s="958"/>
      <c r="G1587" s="1529" t="s">
        <v>1778</v>
      </c>
      <c r="H1587" s="1529"/>
    </row>
    <row r="1588" spans="1:8" ht="18">
      <c r="A1588" s="1530" t="s">
        <v>37</v>
      </c>
      <c r="B1588" s="1530"/>
      <c r="C1588" s="1530" t="s">
        <v>1604</v>
      </c>
      <c r="D1588" s="1530"/>
      <c r="E1588" s="1530"/>
      <c r="F1588" s="958"/>
      <c r="G1588" s="1530" t="s">
        <v>39</v>
      </c>
      <c r="H1588" s="1530"/>
    </row>
    <row r="1589" spans="1:8" ht="18">
      <c r="A1589" s="959"/>
      <c r="B1589" s="959"/>
      <c r="C1589" s="959"/>
      <c r="D1589" s="959"/>
      <c r="E1589" s="959"/>
      <c r="F1589" s="958"/>
      <c r="G1589" s="959"/>
      <c r="H1589" s="959"/>
    </row>
    <row r="1590" spans="1:8" ht="18">
      <c r="A1590" s="959"/>
      <c r="B1590" s="959"/>
      <c r="C1590" s="959"/>
      <c r="D1590" s="959"/>
      <c r="E1590" s="959"/>
      <c r="F1590" s="958"/>
      <c r="G1590" s="959"/>
      <c r="H1590" s="959"/>
    </row>
    <row r="1591" spans="1:8" ht="18">
      <c r="A1591" s="959"/>
      <c r="B1591" s="959"/>
      <c r="C1591" s="959"/>
      <c r="D1591" s="959"/>
      <c r="E1591" s="959"/>
      <c r="F1591" s="958"/>
      <c r="G1591" s="959"/>
      <c r="H1591" s="959"/>
    </row>
    <row r="1592" spans="1:8">
      <c r="A1592" s="415"/>
      <c r="B1592" s="415"/>
      <c r="C1592" s="415"/>
      <c r="D1592" s="415"/>
      <c r="E1592" s="415"/>
      <c r="F1592" s="415"/>
      <c r="G1592" s="415"/>
      <c r="H1592" s="415"/>
    </row>
    <row r="1593" spans="1:8" ht="24.6">
      <c r="A1593" s="1078"/>
      <c r="B1593" s="1079"/>
      <c r="C1593" s="1558" t="s">
        <v>464</v>
      </c>
      <c r="D1593" s="1558"/>
      <c r="E1593" s="1558"/>
      <c r="F1593" s="1558"/>
      <c r="G1593" s="1558"/>
      <c r="H1593" s="1558"/>
    </row>
    <row r="1594" spans="1:8" ht="24.6">
      <c r="A1594" s="1078"/>
      <c r="B1594" s="1078"/>
      <c r="C1594" s="1558" t="s">
        <v>1864</v>
      </c>
      <c r="D1594" s="1558"/>
      <c r="E1594" s="1558"/>
      <c r="F1594" s="1558"/>
      <c r="G1594" s="1558"/>
      <c r="H1594" s="1558"/>
    </row>
    <row r="1595" spans="1:8" ht="24.6">
      <c r="A1595" s="1078"/>
      <c r="B1595" s="1078"/>
      <c r="C1595" s="1558" t="s">
        <v>507</v>
      </c>
      <c r="D1595" s="1558"/>
      <c r="E1595" s="1558"/>
      <c r="F1595" s="1558"/>
      <c r="G1595" s="1558"/>
      <c r="H1595" s="1558"/>
    </row>
    <row r="1596" spans="1:8">
      <c r="A1596" s="416"/>
      <c r="B1596" s="416"/>
      <c r="C1596" s="416"/>
      <c r="D1596" s="416"/>
      <c r="E1596" s="416"/>
      <c r="F1596" s="416"/>
      <c r="G1596" s="416"/>
      <c r="H1596" s="416"/>
    </row>
    <row r="1597" spans="1:8">
      <c r="A1597" s="416"/>
      <c r="B1597" s="416"/>
      <c r="C1597" s="416"/>
      <c r="D1597" s="416"/>
      <c r="E1597" s="416"/>
      <c r="F1597" s="416"/>
      <c r="G1597" s="416"/>
      <c r="H1597" s="416"/>
    </row>
    <row r="1598" spans="1:8" ht="17.399999999999999">
      <c r="A1598" s="1560" t="s">
        <v>3</v>
      </c>
      <c r="B1598" s="1560" t="s">
        <v>4</v>
      </c>
      <c r="C1598" s="1560" t="s">
        <v>5</v>
      </c>
      <c r="D1598" s="1560" t="s">
        <v>6</v>
      </c>
      <c r="E1598" s="1560" t="s">
        <v>7</v>
      </c>
      <c r="F1598" s="1087" t="s">
        <v>8</v>
      </c>
      <c r="G1598" s="1087" t="s">
        <v>9</v>
      </c>
      <c r="H1598" s="1087" t="s">
        <v>10</v>
      </c>
    </row>
    <row r="1599" spans="1:8" ht="17.399999999999999">
      <c r="A1599" s="1561"/>
      <c r="B1599" s="1561"/>
      <c r="C1599" s="1561"/>
      <c r="D1599" s="1561"/>
      <c r="E1599" s="1561"/>
      <c r="F1599" s="1088" t="s">
        <v>11</v>
      </c>
      <c r="G1599" s="1088" t="s">
        <v>11</v>
      </c>
      <c r="H1599" s="1088" t="s">
        <v>11</v>
      </c>
    </row>
    <row r="1600" spans="1:8" ht="17.399999999999999">
      <c r="A1600" s="1089" t="s">
        <v>12</v>
      </c>
      <c r="B1600" s="1090" t="s">
        <v>508</v>
      </c>
      <c r="C1600" s="1091"/>
      <c r="D1600" s="1092"/>
      <c r="E1600" s="1092"/>
      <c r="F1600" s="1093"/>
      <c r="G1600" s="1094"/>
      <c r="H1600" s="1095"/>
    </row>
    <row r="1601" spans="1:8" ht="17.399999999999999">
      <c r="A1601" s="1096">
        <v>1</v>
      </c>
      <c r="B1601" s="1093" t="s">
        <v>509</v>
      </c>
      <c r="C1601" s="1091">
        <v>42</v>
      </c>
      <c r="D1601" s="1092" t="s">
        <v>44</v>
      </c>
      <c r="E1601" s="1092" t="s">
        <v>16</v>
      </c>
      <c r="F1601" s="1091">
        <v>26000</v>
      </c>
      <c r="G1601" s="1094">
        <f>C1601*F1601</f>
        <v>1092000</v>
      </c>
      <c r="H1601" s="1095"/>
    </row>
    <row r="1602" spans="1:8" ht="17.399999999999999">
      <c r="A1602" s="1096">
        <f>A1601+1</f>
        <v>2</v>
      </c>
      <c r="B1602" s="1093" t="s">
        <v>510</v>
      </c>
      <c r="C1602" s="1091">
        <v>1</v>
      </c>
      <c r="D1602" s="1092" t="s">
        <v>138</v>
      </c>
      <c r="E1602" s="1092" t="s">
        <v>16</v>
      </c>
      <c r="F1602" s="1095">
        <v>12043600</v>
      </c>
      <c r="G1602" s="1094">
        <f>C1602*F1602</f>
        <v>12043600</v>
      </c>
      <c r="H1602" s="1095"/>
    </row>
    <row r="1603" spans="1:8" ht="17.399999999999999">
      <c r="A1603" s="1096"/>
      <c r="B1603" s="1093" t="s">
        <v>511</v>
      </c>
      <c r="C1603" s="1091"/>
      <c r="D1603" s="1092"/>
      <c r="E1603" s="1092"/>
      <c r="F1603" s="1095"/>
      <c r="G1603" s="1094"/>
      <c r="H1603" s="1095"/>
    </row>
    <row r="1604" spans="1:8" ht="17.399999999999999">
      <c r="A1604" s="1096">
        <f>A1602+1</f>
        <v>3</v>
      </c>
      <c r="B1604" s="1093" t="s">
        <v>512</v>
      </c>
      <c r="C1604" s="1094">
        <v>3</v>
      </c>
      <c r="D1604" s="1097" t="s">
        <v>47</v>
      </c>
      <c r="E1604" s="1092" t="s">
        <v>82</v>
      </c>
      <c r="F1604" s="1095">
        <v>220000</v>
      </c>
      <c r="G1604" s="1094">
        <f>C1604*F1604</f>
        <v>660000</v>
      </c>
      <c r="H1604" s="1095"/>
    </row>
    <row r="1605" spans="1:8" ht="17.399999999999999">
      <c r="A1605" s="1096">
        <f>A1604+1</f>
        <v>4</v>
      </c>
      <c r="B1605" s="1093" t="s">
        <v>513</v>
      </c>
      <c r="C1605" s="1094">
        <v>1</v>
      </c>
      <c r="D1605" s="1097" t="s">
        <v>138</v>
      </c>
      <c r="E1605" s="1092" t="s">
        <v>16</v>
      </c>
      <c r="F1605" s="1091">
        <v>1032100</v>
      </c>
      <c r="G1605" s="1094">
        <f>C1605*F1605</f>
        <v>1032100</v>
      </c>
      <c r="H1605" s="1095"/>
    </row>
    <row r="1606" spans="1:8" ht="17.399999999999999">
      <c r="A1606" s="1096"/>
      <c r="B1606" s="1093" t="s">
        <v>514</v>
      </c>
      <c r="C1606" s="1094"/>
      <c r="D1606" s="1097"/>
      <c r="E1606" s="1092"/>
      <c r="F1606" s="1091"/>
      <c r="G1606" s="1094"/>
      <c r="H1606" s="1095"/>
    </row>
    <row r="1607" spans="1:8" ht="17.399999999999999">
      <c r="A1607" s="1096">
        <f>A1605+1</f>
        <v>5</v>
      </c>
      <c r="B1607" s="1093" t="s">
        <v>515</v>
      </c>
      <c r="C1607" s="1094">
        <v>1</v>
      </c>
      <c r="D1607" s="1097" t="s">
        <v>138</v>
      </c>
      <c r="E1607" s="1092" t="s">
        <v>51</v>
      </c>
      <c r="F1607" s="1091">
        <v>1500000</v>
      </c>
      <c r="G1607" s="1094">
        <f>C1607*F1607</f>
        <v>1500000</v>
      </c>
      <c r="H1607" s="1095"/>
    </row>
    <row r="1608" spans="1:8" ht="17.399999999999999">
      <c r="A1608" s="1096">
        <f>A1607+1</f>
        <v>6</v>
      </c>
      <c r="B1608" s="1093" t="s">
        <v>516</v>
      </c>
      <c r="C1608" s="1094">
        <v>1</v>
      </c>
      <c r="D1608" s="1097" t="s">
        <v>138</v>
      </c>
      <c r="E1608" s="1092" t="s">
        <v>51</v>
      </c>
      <c r="F1608" s="1091">
        <v>3500000</v>
      </c>
      <c r="G1608" s="1094">
        <f>C1608*F1608</f>
        <v>3500000</v>
      </c>
      <c r="H1608" s="1095"/>
    </row>
    <row r="1609" spans="1:8" ht="17.399999999999999">
      <c r="A1609" s="1096"/>
      <c r="B1609" s="1093" t="s">
        <v>517</v>
      </c>
      <c r="C1609" s="1094"/>
      <c r="D1609" s="1097"/>
      <c r="E1609" s="1092"/>
      <c r="F1609" s="1091"/>
      <c r="G1609" s="1094"/>
      <c r="H1609" s="1095"/>
    </row>
    <row r="1610" spans="1:8" ht="17.399999999999999">
      <c r="A1610" s="1096">
        <f>A1608+1</f>
        <v>7</v>
      </c>
      <c r="B1610" s="1093" t="s">
        <v>518</v>
      </c>
      <c r="C1610" s="1094">
        <v>1</v>
      </c>
      <c r="D1610" s="1097" t="s">
        <v>138</v>
      </c>
      <c r="E1610" s="1092" t="s">
        <v>51</v>
      </c>
      <c r="F1610" s="1091">
        <v>4500000</v>
      </c>
      <c r="G1610" s="1094">
        <f t="shared" ref="G1610:G1617" si="7">C1610*F1610</f>
        <v>4500000</v>
      </c>
      <c r="H1610" s="1095"/>
    </row>
    <row r="1611" spans="1:8" ht="17.399999999999999">
      <c r="A1611" s="1096"/>
      <c r="B1611" s="1093" t="s">
        <v>519</v>
      </c>
      <c r="C1611" s="1094"/>
      <c r="D1611" s="1097"/>
      <c r="E1611" s="1092"/>
      <c r="F1611" s="1091"/>
      <c r="G1611" s="1094">
        <f t="shared" si="7"/>
        <v>0</v>
      </c>
      <c r="H1611" s="1095"/>
    </row>
    <row r="1612" spans="1:8" ht="17.399999999999999">
      <c r="A1612" s="1096">
        <f>A1610+1</f>
        <v>8</v>
      </c>
      <c r="B1612" s="1093" t="s">
        <v>520</v>
      </c>
      <c r="C1612" s="1094">
        <v>1</v>
      </c>
      <c r="D1612" s="1097" t="s">
        <v>138</v>
      </c>
      <c r="E1612" s="1092" t="s">
        <v>51</v>
      </c>
      <c r="F1612" s="1091">
        <v>2500000</v>
      </c>
      <c r="G1612" s="1094">
        <f t="shared" si="7"/>
        <v>2500000</v>
      </c>
      <c r="H1612" s="1095"/>
    </row>
    <row r="1613" spans="1:8" ht="17.399999999999999">
      <c r="A1613" s="1096"/>
      <c r="B1613" s="1093" t="s">
        <v>519</v>
      </c>
      <c r="C1613" s="1094"/>
      <c r="D1613" s="1097"/>
      <c r="E1613" s="1092"/>
      <c r="F1613" s="1091"/>
      <c r="G1613" s="1094">
        <f t="shared" si="7"/>
        <v>0</v>
      </c>
      <c r="H1613" s="1095"/>
    </row>
    <row r="1614" spans="1:8" ht="17.399999999999999">
      <c r="A1614" s="1096">
        <f>A1612+1</f>
        <v>9</v>
      </c>
      <c r="B1614" s="1093" t="s">
        <v>521</v>
      </c>
      <c r="C1614" s="1094">
        <v>1</v>
      </c>
      <c r="D1614" s="1097" t="s">
        <v>138</v>
      </c>
      <c r="E1614" s="1092" t="s">
        <v>51</v>
      </c>
      <c r="F1614" s="1091">
        <v>1500000</v>
      </c>
      <c r="G1614" s="1094">
        <f t="shared" si="7"/>
        <v>1500000</v>
      </c>
      <c r="H1614" s="1095"/>
    </row>
    <row r="1615" spans="1:8" ht="17.399999999999999">
      <c r="A1615" s="1096">
        <f>A1614+1</f>
        <v>10</v>
      </c>
      <c r="B1615" s="1093" t="s">
        <v>522</v>
      </c>
      <c r="C1615" s="1094">
        <v>1</v>
      </c>
      <c r="D1615" s="1097" t="s">
        <v>138</v>
      </c>
      <c r="E1615" s="1092" t="s">
        <v>51</v>
      </c>
      <c r="F1615" s="1091">
        <v>2000000</v>
      </c>
      <c r="G1615" s="1094">
        <f t="shared" si="7"/>
        <v>2000000</v>
      </c>
      <c r="H1615" s="1095"/>
    </row>
    <row r="1616" spans="1:8" ht="17.399999999999999">
      <c r="A1616" s="1096">
        <f>A1615+1</f>
        <v>11</v>
      </c>
      <c r="B1616" s="1093" t="s">
        <v>1865</v>
      </c>
      <c r="C1616" s="1094">
        <v>1</v>
      </c>
      <c r="D1616" s="1097" t="s">
        <v>524</v>
      </c>
      <c r="E1616" s="1092" t="s">
        <v>16</v>
      </c>
      <c r="F1616" s="1091">
        <v>3000000</v>
      </c>
      <c r="G1616" s="1094">
        <f t="shared" si="7"/>
        <v>3000000</v>
      </c>
      <c r="H1616" s="1095"/>
    </row>
    <row r="1617" spans="1:8" ht="17.399999999999999">
      <c r="A1617" s="1096">
        <f>A1616+1</f>
        <v>12</v>
      </c>
      <c r="B1617" s="1093" t="s">
        <v>525</v>
      </c>
      <c r="C1617" s="1094">
        <v>1</v>
      </c>
      <c r="D1617" s="1097" t="s">
        <v>21</v>
      </c>
      <c r="E1617" s="1092" t="s">
        <v>82</v>
      </c>
      <c r="F1617" s="1091">
        <v>763560</v>
      </c>
      <c r="G1617" s="1094">
        <f t="shared" si="7"/>
        <v>763560</v>
      </c>
      <c r="H1617" s="1095"/>
    </row>
    <row r="1618" spans="1:8" ht="17.399999999999999">
      <c r="A1618" s="1096"/>
      <c r="B1618" s="1093"/>
      <c r="C1618" s="1094"/>
      <c r="D1618" s="1097"/>
      <c r="E1618" s="1092"/>
      <c r="F1618" s="1091"/>
      <c r="G1618" s="1094"/>
      <c r="H1618" s="1095"/>
    </row>
    <row r="1619" spans="1:8" ht="17.399999999999999">
      <c r="A1619" s="1098"/>
      <c r="B1619" s="1099"/>
      <c r="C1619" s="1100"/>
      <c r="D1619" s="1101"/>
      <c r="E1619" s="1102"/>
      <c r="F1619" s="1100"/>
      <c r="G1619" s="1103" t="s">
        <v>486</v>
      </c>
      <c r="H1619" s="1104">
        <f>SUM(G1601:G1618)</f>
        <v>34091260</v>
      </c>
    </row>
    <row r="1620" spans="1:8" ht="17.399999999999999">
      <c r="A1620" s="1105"/>
      <c r="B1620" s="1106"/>
      <c r="C1620" s="1107"/>
      <c r="D1620" s="1108"/>
      <c r="E1620" s="1109"/>
      <c r="F1620" s="1107"/>
      <c r="G1620" s="1110"/>
      <c r="H1620" s="1091"/>
    </row>
    <row r="1621" spans="1:8" ht="18">
      <c r="A1621" s="1111"/>
      <c r="B1621" s="1112"/>
      <c r="C1621" s="1112"/>
      <c r="D1621" s="1112"/>
      <c r="E1621" s="1112"/>
      <c r="F1621" s="1113"/>
      <c r="G1621" s="1114" t="s">
        <v>503</v>
      </c>
      <c r="H1621" s="1115">
        <f>H1619</f>
        <v>34091260</v>
      </c>
    </row>
    <row r="1622" spans="1:8" ht="18.600000000000001" thickBot="1">
      <c r="A1622" s="1083"/>
      <c r="B1622" s="1084"/>
      <c r="C1622" s="1084"/>
      <c r="D1622" s="1084"/>
      <c r="E1622" s="1084"/>
      <c r="F1622" s="1116"/>
      <c r="G1622" s="1117" t="s">
        <v>460</v>
      </c>
      <c r="H1622" s="1118">
        <f>H1621*10%</f>
        <v>3409126</v>
      </c>
    </row>
    <row r="1623" spans="1:8" ht="18">
      <c r="A1623" s="1083" t="s">
        <v>27</v>
      </c>
      <c r="B1623" s="1084"/>
      <c r="C1623" s="1084"/>
      <c r="D1623" s="1084"/>
      <c r="E1623" s="1084"/>
      <c r="F1623" s="1116"/>
      <c r="G1623" s="1093" t="s">
        <v>28</v>
      </c>
      <c r="H1623" s="1119">
        <f>H1621+H1622</f>
        <v>37500386</v>
      </c>
    </row>
    <row r="1624" spans="1:8" ht="18">
      <c r="A1624" s="1085"/>
      <c r="B1624" s="1086" t="s">
        <v>1866</v>
      </c>
      <c r="C1624" s="1120"/>
      <c r="D1624" s="1120"/>
      <c r="E1624" s="1120"/>
      <c r="F1624" s="1121"/>
      <c r="G1624" s="1122" t="s">
        <v>30</v>
      </c>
      <c r="H1624" s="1123">
        <f>ROUND(H1623,-2)</f>
        <v>37500400</v>
      </c>
    </row>
    <row r="1625" spans="1:8">
      <c r="A1625" s="474"/>
      <c r="B1625" s="474"/>
      <c r="C1625" s="474"/>
      <c r="D1625" s="474"/>
      <c r="E1625" s="474"/>
      <c r="F1625" s="474"/>
      <c r="G1625" s="474"/>
      <c r="H1625" s="475"/>
    </row>
    <row r="1627" spans="1:8" ht="20.399999999999999">
      <c r="A1627" s="1124"/>
      <c r="B1627" s="1124"/>
      <c r="C1627" s="1124"/>
      <c r="D1627" s="1124"/>
      <c r="E1627" s="1124"/>
      <c r="F1627" s="1124"/>
      <c r="G1627" s="1559" t="s">
        <v>1842</v>
      </c>
      <c r="H1627" s="1559"/>
    </row>
    <row r="1628" spans="1:8" ht="20.399999999999999">
      <c r="A1628" s="1559" t="s">
        <v>234</v>
      </c>
      <c r="B1628" s="1559"/>
      <c r="C1628" s="1559" t="s">
        <v>32</v>
      </c>
      <c r="D1628" s="1559"/>
      <c r="E1628" s="1559"/>
      <c r="F1628" s="1124"/>
      <c r="G1628" s="1559" t="s">
        <v>33</v>
      </c>
      <c r="H1628" s="1559"/>
    </row>
    <row r="1629" spans="1:8" ht="20.399999999999999">
      <c r="A1629" s="1124"/>
      <c r="B1629" s="1124"/>
      <c r="C1629" s="1124"/>
      <c r="D1629" s="1124"/>
      <c r="E1629" s="1124"/>
      <c r="F1629" s="1124"/>
      <c r="G1629" s="1124"/>
      <c r="H1629" s="1124"/>
    </row>
    <row r="1630" spans="1:8" ht="20.399999999999999">
      <c r="A1630" s="1124"/>
      <c r="B1630" s="1124"/>
      <c r="C1630" s="1124"/>
      <c r="D1630" s="1124"/>
      <c r="E1630" s="1124"/>
      <c r="F1630" s="1124"/>
      <c r="G1630" s="1124"/>
      <c r="H1630" s="1124"/>
    </row>
    <row r="1631" spans="1:8" ht="20.399999999999999">
      <c r="A1631" s="1124"/>
      <c r="B1631" s="1124"/>
      <c r="C1631" s="1124"/>
      <c r="D1631" s="1124"/>
      <c r="E1631" s="1124"/>
      <c r="F1631" s="1124"/>
      <c r="G1631" s="1124"/>
      <c r="H1631" s="1124"/>
    </row>
    <row r="1632" spans="1:8" ht="21">
      <c r="A1632" s="1562" t="s">
        <v>1822</v>
      </c>
      <c r="B1632" s="1562"/>
      <c r="C1632" s="1562" t="s">
        <v>1134</v>
      </c>
      <c r="D1632" s="1562"/>
      <c r="E1632" s="1562"/>
      <c r="F1632" s="1124"/>
      <c r="G1632" s="1562" t="s">
        <v>1661</v>
      </c>
      <c r="H1632" s="1562"/>
    </row>
    <row r="1633" spans="1:8" ht="20.399999999999999">
      <c r="A1633" s="1559" t="s">
        <v>37</v>
      </c>
      <c r="B1633" s="1559"/>
      <c r="C1633" s="1559" t="s">
        <v>1867</v>
      </c>
      <c r="D1633" s="1559"/>
      <c r="E1633" s="1559"/>
      <c r="F1633" s="1124"/>
      <c r="G1633" s="1559" t="s">
        <v>39</v>
      </c>
      <c r="H1633" s="1559"/>
    </row>
    <row r="1634" spans="1:8" ht="17.399999999999999">
      <c r="A1634" s="1080"/>
      <c r="B1634" s="1080"/>
      <c r="C1634" s="1080"/>
      <c r="D1634" s="1080"/>
      <c r="E1634" s="1080"/>
      <c r="F1634" s="1080"/>
      <c r="G1634" s="1080"/>
      <c r="H1634" s="1080"/>
    </row>
    <row r="1635" spans="1:8" ht="15.6">
      <c r="A1635" s="808"/>
      <c r="B1635" s="808"/>
      <c r="C1635" s="808"/>
      <c r="D1635" s="808"/>
      <c r="E1635" s="808"/>
      <c r="F1635" s="808"/>
      <c r="G1635" s="808"/>
      <c r="H1635" s="808"/>
    </row>
    <row r="1642" spans="1:8" ht="28.8">
      <c r="A1642" s="597"/>
      <c r="B1642" s="597"/>
      <c r="C1642" s="1513" t="s">
        <v>235</v>
      </c>
      <c r="D1642" s="1513"/>
      <c r="E1642" s="1513"/>
      <c r="F1642" s="1513"/>
      <c r="G1642" s="1513"/>
      <c r="H1642" s="1513"/>
    </row>
    <row r="1643" spans="1:8" ht="28.8">
      <c r="A1643" s="597"/>
      <c r="B1643" s="597"/>
      <c r="C1643" s="1541" t="s">
        <v>1817</v>
      </c>
      <c r="D1643" s="1541"/>
      <c r="E1643" s="1541"/>
      <c r="F1643" s="1541"/>
      <c r="G1643" s="1541"/>
      <c r="H1643" s="1541"/>
    </row>
    <row r="1644" spans="1:8" ht="23.4">
      <c r="A1644" s="830"/>
      <c r="B1644" s="830"/>
      <c r="C1644" s="1537" t="s">
        <v>466</v>
      </c>
      <c r="D1644" s="1537"/>
      <c r="E1644" s="1537"/>
      <c r="F1644" s="1537"/>
      <c r="G1644" s="1537"/>
      <c r="H1644" s="1537"/>
    </row>
    <row r="1645" spans="1:8" ht="15.6">
      <c r="A1645" s="769"/>
      <c r="B1645" s="769"/>
      <c r="C1645" s="769"/>
      <c r="D1645" s="769"/>
      <c r="E1645" s="769"/>
      <c r="F1645" s="769"/>
      <c r="G1645" s="769"/>
      <c r="H1645" s="769"/>
    </row>
    <row r="1646" spans="1:8" ht="15.6">
      <c r="A1646" s="769"/>
      <c r="B1646" s="769"/>
      <c r="C1646" s="769"/>
      <c r="D1646" s="769"/>
      <c r="E1646" s="769"/>
      <c r="F1646" s="769"/>
      <c r="G1646" s="769"/>
      <c r="H1646" s="769"/>
    </row>
    <row r="1647" spans="1:8" ht="15.6">
      <c r="A1647" s="1516" t="s">
        <v>3</v>
      </c>
      <c r="B1647" s="1516" t="s">
        <v>4</v>
      </c>
      <c r="C1647" s="1516" t="s">
        <v>5</v>
      </c>
      <c r="D1647" s="1516" t="s">
        <v>6</v>
      </c>
      <c r="E1647" s="1516" t="s">
        <v>7</v>
      </c>
      <c r="F1647" s="770" t="s">
        <v>8</v>
      </c>
      <c r="G1647" s="770" t="s">
        <v>9</v>
      </c>
      <c r="H1647" s="770" t="s">
        <v>10</v>
      </c>
    </row>
    <row r="1648" spans="1:8" ht="15.6">
      <c r="A1648" s="1517"/>
      <c r="B1648" s="1517"/>
      <c r="C1648" s="1517"/>
      <c r="D1648" s="1517"/>
      <c r="E1648" s="1517"/>
      <c r="F1648" s="771" t="s">
        <v>11</v>
      </c>
      <c r="G1648" s="771" t="s">
        <v>11</v>
      </c>
      <c r="H1648" s="771" t="s">
        <v>11</v>
      </c>
    </row>
    <row r="1649" spans="1:8" ht="15.6">
      <c r="A1649" s="770" t="s">
        <v>12</v>
      </c>
      <c r="B1649" s="772" t="s">
        <v>364</v>
      </c>
      <c r="C1649" s="773"/>
      <c r="D1649" s="774"/>
      <c r="E1649" s="774"/>
      <c r="F1649" s="774"/>
      <c r="G1649" s="775"/>
      <c r="H1649" s="776"/>
    </row>
    <row r="1650" spans="1:8" ht="15.6">
      <c r="A1650" s="786"/>
      <c r="B1650" s="969" t="s">
        <v>1583</v>
      </c>
      <c r="C1650" s="779">
        <v>1</v>
      </c>
      <c r="D1650" s="780" t="s">
        <v>245</v>
      </c>
      <c r="E1650" s="780" t="s">
        <v>197</v>
      </c>
      <c r="F1650" s="791" t="s">
        <v>126</v>
      </c>
      <c r="G1650" s="791" t="s">
        <v>126</v>
      </c>
      <c r="H1650" s="971"/>
    </row>
    <row r="1651" spans="1:8" ht="15.6">
      <c r="A1651" s="786"/>
      <c r="B1651" s="969" t="s">
        <v>1595</v>
      </c>
      <c r="C1651" s="779">
        <v>8</v>
      </c>
      <c r="D1651" s="780" t="s">
        <v>44</v>
      </c>
      <c r="E1651" s="780" t="s">
        <v>197</v>
      </c>
      <c r="F1651" s="791" t="s">
        <v>126</v>
      </c>
      <c r="G1651" s="791" t="s">
        <v>126</v>
      </c>
      <c r="H1651" s="971"/>
    </row>
    <row r="1652" spans="1:8" ht="15.6">
      <c r="A1652" s="786"/>
      <c r="B1652" s="969"/>
      <c r="C1652" s="779"/>
      <c r="D1652" s="780"/>
      <c r="E1652" s="780"/>
      <c r="F1652" s="788"/>
      <c r="G1652" s="788"/>
      <c r="H1652" s="971"/>
    </row>
    <row r="1653" spans="1:8" ht="15.6">
      <c r="A1653" s="814"/>
      <c r="B1653" s="806"/>
      <c r="C1653" s="815"/>
      <c r="D1653" s="816"/>
      <c r="E1653" s="816"/>
      <c r="F1653" s="817"/>
      <c r="G1653" s="817"/>
      <c r="H1653" s="818">
        <f>SUM(G1649:G1653)</f>
        <v>0</v>
      </c>
    </row>
    <row r="1654" spans="1:8" ht="15.6">
      <c r="A1654" s="786" t="s">
        <v>18</v>
      </c>
      <c r="B1654" s="787" t="s">
        <v>19</v>
      </c>
      <c r="C1654" s="782"/>
      <c r="D1654" s="780"/>
      <c r="E1654" s="780"/>
      <c r="F1654" s="778"/>
      <c r="G1654" s="788"/>
      <c r="H1654" s="789"/>
    </row>
    <row r="1655" spans="1:8" ht="15.6">
      <c r="A1655" s="790"/>
      <c r="B1655" s="969" t="s">
        <v>1818</v>
      </c>
      <c r="C1655" s="779">
        <v>1</v>
      </c>
      <c r="D1655" s="780" t="s">
        <v>44</v>
      </c>
      <c r="E1655" s="780" t="s">
        <v>16</v>
      </c>
      <c r="F1655" s="788">
        <v>537500</v>
      </c>
      <c r="G1655" s="788">
        <f>F1655*C1655</f>
        <v>537500</v>
      </c>
      <c r="H1655" s="789"/>
    </row>
    <row r="1656" spans="1:8" ht="15.6">
      <c r="A1656" s="790"/>
      <c r="B1656" s="969" t="s">
        <v>1819</v>
      </c>
      <c r="C1656" s="779">
        <v>1</v>
      </c>
      <c r="D1656" s="780" t="s">
        <v>44</v>
      </c>
      <c r="E1656" s="780" t="s">
        <v>16</v>
      </c>
      <c r="F1656" s="788">
        <v>537500</v>
      </c>
      <c r="G1656" s="788">
        <f>F1656*C1656</f>
        <v>537500</v>
      </c>
      <c r="H1656" s="789"/>
    </row>
    <row r="1657" spans="1:8" ht="15.6">
      <c r="A1657" s="790"/>
      <c r="B1657" s="969" t="s">
        <v>1820</v>
      </c>
      <c r="C1657" s="779">
        <v>1</v>
      </c>
      <c r="D1657" s="780" t="s">
        <v>44</v>
      </c>
      <c r="E1657" s="780" t="s">
        <v>51</v>
      </c>
      <c r="F1657" s="788">
        <v>150000</v>
      </c>
      <c r="G1657" s="788">
        <f>F1657*C1657</f>
        <v>150000</v>
      </c>
      <c r="H1657" s="789"/>
    </row>
    <row r="1658" spans="1:8" ht="15.6">
      <c r="A1658" s="790"/>
      <c r="B1658" s="969" t="s">
        <v>1599</v>
      </c>
      <c r="C1658" s="779">
        <v>1</v>
      </c>
      <c r="D1658" s="780" t="s">
        <v>1600</v>
      </c>
      <c r="E1658" s="780" t="s">
        <v>51</v>
      </c>
      <c r="F1658" s="788">
        <v>100000</v>
      </c>
      <c r="G1658" s="788">
        <f>F1658*C1658</f>
        <v>100000</v>
      </c>
      <c r="H1658" s="789"/>
    </row>
    <row r="1659" spans="1:8" ht="15.6">
      <c r="A1659" s="790"/>
      <c r="B1659" s="969"/>
      <c r="C1659" s="779"/>
      <c r="D1659" s="780"/>
      <c r="E1659" s="780"/>
      <c r="F1659" s="788"/>
      <c r="G1659" s="788"/>
      <c r="H1659" s="789"/>
    </row>
    <row r="1660" spans="1:8" ht="15.6">
      <c r="A1660" s="790"/>
      <c r="B1660" s="777"/>
      <c r="C1660" s="788"/>
      <c r="D1660" s="780"/>
      <c r="E1660" s="780"/>
      <c r="F1660" s="788"/>
      <c r="G1660" s="788"/>
      <c r="H1660" s="789"/>
    </row>
    <row r="1661" spans="1:8" ht="15.6">
      <c r="A1661" s="793"/>
      <c r="B1661" s="783"/>
      <c r="C1661" s="794"/>
      <c r="D1661" s="795"/>
      <c r="E1661" s="811"/>
      <c r="F1661" s="811" t="s">
        <v>25</v>
      </c>
      <c r="G1661" s="813">
        <f>SUM(G1655:G1660)</f>
        <v>1325000</v>
      </c>
      <c r="H1661" s="810"/>
    </row>
    <row r="1662" spans="1:8" ht="15.6">
      <c r="A1662" s="820"/>
      <c r="B1662" s="821"/>
      <c r="C1662" s="822"/>
      <c r="D1662" s="822"/>
      <c r="E1662" s="823"/>
      <c r="F1662" s="819" t="s">
        <v>1151</v>
      </c>
      <c r="G1662" s="964"/>
      <c r="H1662" s="825"/>
    </row>
    <row r="1663" spans="1:8" ht="15.6">
      <c r="A1663" s="796"/>
      <c r="B1663" s="797"/>
      <c r="C1663" s="784"/>
      <c r="D1663" s="784"/>
      <c r="E1663" s="785"/>
      <c r="F1663" s="812"/>
      <c r="G1663" s="798"/>
      <c r="H1663" s="826">
        <f>G1661+G1662</f>
        <v>1325000</v>
      </c>
    </row>
    <row r="1664" spans="1:8" ht="15.6">
      <c r="A1664" s="820"/>
      <c r="B1664" s="821"/>
      <c r="C1664" s="822"/>
      <c r="D1664" s="822"/>
      <c r="E1664" s="823"/>
      <c r="F1664" s="819"/>
      <c r="G1664" s="824"/>
      <c r="H1664" s="827"/>
    </row>
    <row r="1665" spans="1:8" ht="15.6">
      <c r="A1665" s="799"/>
      <c r="B1665" s="800"/>
      <c r="C1665" s="800"/>
      <c r="D1665" s="800"/>
      <c r="E1665" s="800"/>
      <c r="F1665" s="801"/>
      <c r="G1665" s="828" t="s">
        <v>28</v>
      </c>
      <c r="H1665" s="775">
        <f>H1663+H1653</f>
        <v>1325000</v>
      </c>
    </row>
    <row r="1666" spans="1:8" ht="15.6">
      <c r="A1666" s="802"/>
      <c r="B1666" s="803"/>
      <c r="C1666" s="804"/>
      <c r="D1666" s="804"/>
      <c r="E1666" s="804"/>
      <c r="F1666" s="805"/>
      <c r="G1666" s="829" t="s">
        <v>30</v>
      </c>
      <c r="H1666" s="807">
        <f>ROUND(H1665,-3)</f>
        <v>1325000</v>
      </c>
    </row>
    <row r="1667" spans="1:8" ht="15.6">
      <c r="A1667" s="49"/>
      <c r="B1667" s="49"/>
      <c r="C1667" s="49"/>
      <c r="D1667" s="49"/>
      <c r="E1667" s="49"/>
      <c r="F1667" s="49"/>
      <c r="G1667" s="49"/>
      <c r="H1667" s="50"/>
    </row>
    <row r="1668" spans="1:8" ht="18">
      <c r="A1668" s="768" t="s">
        <v>1150</v>
      </c>
      <c r="B1668" s="49"/>
      <c r="C1668" s="49"/>
      <c r="D1668" s="49"/>
      <c r="E1668" s="49"/>
      <c r="F1668" s="49"/>
      <c r="G1668" s="49"/>
      <c r="H1668" s="50"/>
    </row>
    <row r="1669" spans="1:8" ht="17.399999999999999">
      <c r="A1669" s="49"/>
      <c r="B1669" s="965" t="s">
        <v>1821</v>
      </c>
      <c r="C1669" s="49"/>
      <c r="D1669" s="49"/>
      <c r="E1669" s="49"/>
      <c r="F1669" s="49"/>
      <c r="G1669" s="49"/>
      <c r="H1669" s="50"/>
    </row>
    <row r="1670" spans="1:8" ht="15.6">
      <c r="A1670" s="49"/>
      <c r="B1670" s="49"/>
      <c r="C1670" s="49"/>
      <c r="D1670" s="49"/>
      <c r="E1670" s="49"/>
      <c r="F1670" s="49"/>
      <c r="G1670" s="49"/>
      <c r="H1670" s="50"/>
    </row>
    <row r="1671" spans="1:8" ht="18">
      <c r="A1671" s="51"/>
      <c r="B1671" s="51"/>
      <c r="C1671" s="51"/>
      <c r="D1671" s="51"/>
      <c r="E1671" s="51"/>
      <c r="F1671" s="51"/>
      <c r="G1671" s="1530" t="s">
        <v>1815</v>
      </c>
      <c r="H1671" s="1530"/>
    </row>
    <row r="1672" spans="1:8" ht="18">
      <c r="A1672" s="1530" t="s">
        <v>31</v>
      </c>
      <c r="B1672" s="1530"/>
      <c r="C1672" s="1530" t="s">
        <v>32</v>
      </c>
      <c r="D1672" s="1530"/>
      <c r="E1672" s="1530"/>
      <c r="F1672" s="958"/>
      <c r="G1672" s="1530" t="s">
        <v>33</v>
      </c>
      <c r="H1672" s="1530"/>
    </row>
    <row r="1673" spans="1:8" ht="18">
      <c r="A1673" s="958"/>
      <c r="B1673" s="958"/>
      <c r="C1673" s="958"/>
      <c r="D1673" s="958"/>
      <c r="E1673" s="958"/>
      <c r="F1673" s="958"/>
      <c r="G1673" s="958"/>
      <c r="H1673" s="958"/>
    </row>
    <row r="1674" spans="1:8" ht="18">
      <c r="A1674" s="958"/>
      <c r="B1674" s="958"/>
      <c r="C1674" s="958"/>
      <c r="D1674" s="958"/>
      <c r="E1674" s="958"/>
      <c r="F1674" s="958"/>
      <c r="G1674" s="958"/>
      <c r="H1674" s="958"/>
    </row>
    <row r="1675" spans="1:8" ht="18">
      <c r="A1675" s="958"/>
      <c r="B1675" s="958"/>
      <c r="C1675" s="958"/>
      <c r="D1675" s="958"/>
      <c r="E1675" s="958"/>
      <c r="F1675" s="958"/>
      <c r="G1675" s="958"/>
      <c r="H1675" s="958"/>
    </row>
    <row r="1676" spans="1:8" ht="18">
      <c r="A1676" s="1529" t="s">
        <v>1622</v>
      </c>
      <c r="B1676" s="1529"/>
      <c r="C1676" s="1529" t="s">
        <v>1603</v>
      </c>
      <c r="D1676" s="1529"/>
      <c r="E1676" s="1529"/>
      <c r="F1676" s="958"/>
      <c r="G1676" s="1529" t="s">
        <v>1661</v>
      </c>
      <c r="H1676" s="1529"/>
    </row>
    <row r="1677" spans="1:8" ht="18">
      <c r="A1677" s="1530" t="s">
        <v>37</v>
      </c>
      <c r="B1677" s="1530"/>
      <c r="C1677" s="1530" t="s">
        <v>1604</v>
      </c>
      <c r="D1677" s="1530"/>
      <c r="E1677" s="1530"/>
      <c r="F1677" s="958"/>
      <c r="G1677" s="1530" t="s">
        <v>39</v>
      </c>
      <c r="H1677" s="1530"/>
    </row>
    <row r="1684" spans="1:8" ht="31.2">
      <c r="A1684" s="597"/>
      <c r="B1684" s="597"/>
      <c r="C1684" s="1552" t="s">
        <v>235</v>
      </c>
      <c r="D1684" s="1552"/>
      <c r="E1684" s="1552"/>
      <c r="F1684" s="1552"/>
      <c r="G1684" s="1552"/>
      <c r="H1684" s="1552"/>
    </row>
    <row r="1685" spans="1:8" ht="28.8">
      <c r="A1685" s="597"/>
      <c r="B1685" s="597"/>
      <c r="C1685" s="1525" t="s">
        <v>1816</v>
      </c>
      <c r="D1685" s="1525"/>
      <c r="E1685" s="1525"/>
      <c r="F1685" s="1525"/>
      <c r="G1685" s="1525"/>
      <c r="H1685" s="1525"/>
    </row>
    <row r="1686" spans="1:8" ht="25.8">
      <c r="A1686" s="830"/>
      <c r="B1686" s="830"/>
      <c r="C1686" s="1525" t="s">
        <v>1809</v>
      </c>
      <c r="D1686" s="1525"/>
      <c r="E1686" s="1525"/>
      <c r="F1686" s="1525"/>
      <c r="G1686" s="1525"/>
      <c r="H1686" s="1525"/>
    </row>
    <row r="1687" spans="1:8" ht="25.8">
      <c r="A1687" s="769"/>
      <c r="B1687" s="769"/>
      <c r="C1687" s="1525" t="s">
        <v>1810</v>
      </c>
      <c r="D1687" s="1525"/>
      <c r="E1687" s="1525"/>
      <c r="F1687" s="1525"/>
      <c r="G1687" s="1525"/>
      <c r="H1687" s="1525"/>
    </row>
    <row r="1688" spans="1:8" ht="15.6">
      <c r="A1688" s="769"/>
      <c r="B1688" s="769"/>
      <c r="C1688" s="769"/>
      <c r="D1688" s="769"/>
      <c r="E1688" s="769"/>
      <c r="F1688" s="769"/>
      <c r="G1688" s="769"/>
      <c r="H1688" s="769"/>
    </row>
    <row r="1689" spans="1:8" ht="18">
      <c r="A1689" s="1531" t="s">
        <v>3</v>
      </c>
      <c r="B1689" s="1531" t="s">
        <v>4</v>
      </c>
      <c r="C1689" s="1531" t="s">
        <v>5</v>
      </c>
      <c r="D1689" s="1531" t="s">
        <v>6</v>
      </c>
      <c r="E1689" s="1531" t="s">
        <v>7</v>
      </c>
      <c r="F1689" s="1001" t="s">
        <v>8</v>
      </c>
      <c r="G1689" s="1001" t="s">
        <v>9</v>
      </c>
      <c r="H1689" s="1001" t="s">
        <v>10</v>
      </c>
    </row>
    <row r="1690" spans="1:8" ht="18">
      <c r="A1690" s="1532"/>
      <c r="B1690" s="1532"/>
      <c r="C1690" s="1532"/>
      <c r="D1690" s="1532"/>
      <c r="E1690" s="1532"/>
      <c r="F1690" s="1002" t="s">
        <v>11</v>
      </c>
      <c r="G1690" s="1002" t="s">
        <v>11</v>
      </c>
      <c r="H1690" s="1002" t="s">
        <v>11</v>
      </c>
    </row>
    <row r="1691" spans="1:8" ht="18">
      <c r="A1691" s="1001" t="s">
        <v>12</v>
      </c>
      <c r="B1691" s="1003" t="s">
        <v>364</v>
      </c>
      <c r="C1691" s="1004"/>
      <c r="D1691" s="1005"/>
      <c r="E1691" s="1005"/>
      <c r="F1691" s="1005"/>
      <c r="G1691" s="1006"/>
      <c r="H1691" s="1007"/>
    </row>
    <row r="1692" spans="1:8" ht="18">
      <c r="A1692" s="1008"/>
      <c r="B1692" s="1009" t="s">
        <v>1811</v>
      </c>
      <c r="C1692" s="1010">
        <v>4</v>
      </c>
      <c r="D1692" s="1011" t="s">
        <v>44</v>
      </c>
      <c r="E1692" s="1011" t="s">
        <v>16</v>
      </c>
      <c r="F1692" s="1022">
        <v>850000</v>
      </c>
      <c r="G1692" s="1012">
        <f>C1692*F1692</f>
        <v>3400000</v>
      </c>
      <c r="H1692" s="1007"/>
    </row>
    <row r="1693" spans="1:8" ht="18">
      <c r="A1693" s="1008"/>
      <c r="B1693" s="1021" t="s">
        <v>1813</v>
      </c>
      <c r="C1693" s="1010"/>
      <c r="D1693" s="1011"/>
      <c r="E1693" s="1011"/>
      <c r="F1693" s="1022"/>
      <c r="G1693" s="1012"/>
      <c r="H1693" s="1018">
        <f>SUM(G1692)</f>
        <v>3400000</v>
      </c>
    </row>
    <row r="1694" spans="1:8" ht="18">
      <c r="A1694" s="1008"/>
      <c r="B1694" s="1009" t="s">
        <v>1812</v>
      </c>
      <c r="C1694" s="1010"/>
      <c r="D1694" s="1011"/>
      <c r="E1694" s="1011"/>
      <c r="F1694" s="1022"/>
      <c r="G1694" s="1012"/>
      <c r="H1694" s="1077"/>
    </row>
    <row r="1695" spans="1:8" ht="18">
      <c r="A1695" s="1025"/>
      <c r="B1695" s="1026"/>
      <c r="C1695" s="1027"/>
      <c r="D1695" s="1028"/>
      <c r="E1695" s="1029"/>
      <c r="F1695" s="1029" t="s">
        <v>25</v>
      </c>
      <c r="G1695" s="1030"/>
      <c r="H1695" s="1018"/>
    </row>
    <row r="1696" spans="1:8" ht="18">
      <c r="A1696" s="1031"/>
      <c r="B1696" s="1032"/>
      <c r="C1696" s="1033"/>
      <c r="D1696" s="1033"/>
      <c r="E1696" s="1034"/>
      <c r="F1696" s="1035" t="s">
        <v>1151</v>
      </c>
      <c r="G1696" s="1036"/>
      <c r="H1696" s="1037"/>
    </row>
    <row r="1697" spans="1:8" ht="18">
      <c r="A1697" s="1038"/>
      <c r="B1697" s="1039"/>
      <c r="C1697" s="1040"/>
      <c r="D1697" s="1040"/>
      <c r="E1697" s="1041"/>
      <c r="F1697" s="1042"/>
      <c r="G1697" s="1043"/>
      <c r="H1697" s="1044"/>
    </row>
    <row r="1698" spans="1:8" ht="18">
      <c r="A1698" s="1031"/>
      <c r="B1698" s="1032"/>
      <c r="C1698" s="1033"/>
      <c r="D1698" s="1033"/>
      <c r="E1698" s="1034"/>
      <c r="F1698" s="1035"/>
      <c r="G1698" s="1045"/>
      <c r="H1698" s="1046"/>
    </row>
    <row r="1699" spans="1:8" ht="18">
      <c r="A1699" s="1047"/>
      <c r="B1699" s="1048"/>
      <c r="C1699" s="1048"/>
      <c r="D1699" s="1048"/>
      <c r="E1699" s="1048"/>
      <c r="F1699" s="1049"/>
      <c r="G1699" s="1050" t="s">
        <v>28</v>
      </c>
      <c r="H1699" s="1006">
        <f>H1693</f>
        <v>3400000</v>
      </c>
    </row>
    <row r="1700" spans="1:8" ht="18">
      <c r="A1700" s="1051"/>
      <c r="B1700" s="1052"/>
      <c r="C1700" s="1053"/>
      <c r="D1700" s="1053"/>
      <c r="E1700" s="1053"/>
      <c r="F1700" s="1054"/>
      <c r="G1700" s="1055" t="s">
        <v>30</v>
      </c>
      <c r="H1700" s="1056">
        <f>ROUND(H1699,-3)</f>
        <v>3400000</v>
      </c>
    </row>
    <row r="1701" spans="1:8" ht="15.6">
      <c r="A1701" s="49"/>
      <c r="B1701" s="49"/>
      <c r="C1701" s="49"/>
      <c r="D1701" s="49"/>
      <c r="E1701" s="49"/>
      <c r="F1701" s="49"/>
      <c r="G1701" s="49"/>
      <c r="H1701" s="50"/>
    </row>
    <row r="1702" spans="1:8" ht="18">
      <c r="A1702" s="768" t="s">
        <v>1150</v>
      </c>
      <c r="B1702" s="49"/>
      <c r="C1702" s="49"/>
      <c r="D1702" s="49"/>
      <c r="E1702" s="49"/>
      <c r="F1702" s="49"/>
      <c r="G1702" s="49"/>
      <c r="H1702" s="50"/>
    </row>
    <row r="1703" spans="1:8" ht="17.399999999999999">
      <c r="A1703" s="49"/>
      <c r="B1703" s="965" t="s">
        <v>1814</v>
      </c>
      <c r="C1703" s="49"/>
      <c r="D1703" s="49"/>
      <c r="E1703" s="49"/>
      <c r="F1703" s="49"/>
      <c r="G1703" s="49"/>
      <c r="H1703" s="50"/>
    </row>
    <row r="1704" spans="1:8" ht="15.6">
      <c r="A1704" s="49"/>
      <c r="B1704" s="49"/>
      <c r="C1704" s="49"/>
      <c r="D1704" s="49"/>
      <c r="E1704" s="49"/>
      <c r="F1704" s="49"/>
      <c r="G1704" s="49"/>
      <c r="H1704" s="50"/>
    </row>
    <row r="1705" spans="1:8" ht="18">
      <c r="A1705" s="51"/>
      <c r="B1705" s="51"/>
      <c r="C1705" s="51"/>
      <c r="D1705" s="51"/>
      <c r="E1705" s="51"/>
      <c r="F1705" s="51"/>
      <c r="G1705" s="1530" t="s">
        <v>1815</v>
      </c>
      <c r="H1705" s="1530"/>
    </row>
    <row r="1706" spans="1:8" ht="18">
      <c r="A1706" s="1530" t="s">
        <v>31</v>
      </c>
      <c r="B1706" s="1530"/>
      <c r="C1706" s="1530" t="s">
        <v>32</v>
      </c>
      <c r="D1706" s="1530"/>
      <c r="E1706" s="1530"/>
      <c r="F1706" s="958"/>
      <c r="G1706" s="1530" t="s">
        <v>33</v>
      </c>
      <c r="H1706" s="1530"/>
    </row>
    <row r="1707" spans="1:8" ht="18">
      <c r="A1707" s="958"/>
      <c r="B1707" s="958"/>
      <c r="C1707" s="958"/>
      <c r="D1707" s="958"/>
      <c r="E1707" s="958"/>
      <c r="F1707" s="958"/>
      <c r="G1707" s="958"/>
      <c r="H1707" s="958"/>
    </row>
    <row r="1708" spans="1:8" ht="18">
      <c r="A1708" s="958"/>
      <c r="B1708" s="958"/>
      <c r="C1708" s="958"/>
      <c r="D1708" s="958"/>
      <c r="E1708" s="958"/>
      <c r="F1708" s="958"/>
      <c r="G1708" s="958"/>
      <c r="H1708" s="958"/>
    </row>
    <row r="1709" spans="1:8" ht="18">
      <c r="A1709" s="958"/>
      <c r="B1709" s="958"/>
      <c r="C1709" s="958"/>
      <c r="D1709" s="958"/>
      <c r="E1709" s="958"/>
      <c r="F1709" s="958"/>
      <c r="G1709" s="958"/>
      <c r="H1709" s="958"/>
    </row>
    <row r="1710" spans="1:8" ht="18">
      <c r="A1710" s="1529" t="s">
        <v>1622</v>
      </c>
      <c r="B1710" s="1529"/>
      <c r="C1710" s="1529" t="s">
        <v>1603</v>
      </c>
      <c r="D1710" s="1529"/>
      <c r="E1710" s="1529"/>
      <c r="F1710" s="958"/>
      <c r="G1710" s="1529" t="s">
        <v>1661</v>
      </c>
      <c r="H1710" s="1529"/>
    </row>
    <row r="1711" spans="1:8" ht="18">
      <c r="A1711" s="1530" t="s">
        <v>37</v>
      </c>
      <c r="B1711" s="1530"/>
      <c r="C1711" s="1530" t="s">
        <v>1604</v>
      </c>
      <c r="D1711" s="1530"/>
      <c r="E1711" s="1530"/>
      <c r="F1711" s="958"/>
      <c r="G1711" s="1530" t="s">
        <v>39</v>
      </c>
      <c r="H1711" s="1530"/>
    </row>
    <row r="1717" spans="1:8" ht="15.6">
      <c r="A1717" s="602"/>
      <c r="B1717" s="602"/>
      <c r="C1717" s="602"/>
      <c r="D1717" s="602"/>
      <c r="E1717" s="602"/>
      <c r="F1717" s="51"/>
      <c r="G1717" s="602"/>
      <c r="H1717" s="602"/>
    </row>
    <row r="1718" spans="1:8" ht="31.2">
      <c r="A1718" s="597"/>
      <c r="B1718" s="597"/>
      <c r="C1718" s="1552" t="s">
        <v>235</v>
      </c>
      <c r="D1718" s="1552"/>
      <c r="E1718" s="1552"/>
      <c r="F1718" s="1552"/>
      <c r="G1718" s="1552"/>
      <c r="H1718" s="1552"/>
    </row>
    <row r="1719" spans="1:8" ht="28.8">
      <c r="A1719" s="597"/>
      <c r="B1719" s="597"/>
      <c r="C1719" s="1525" t="s">
        <v>1807</v>
      </c>
      <c r="D1719" s="1525"/>
      <c r="E1719" s="1525"/>
      <c r="F1719" s="1525"/>
      <c r="G1719" s="1525"/>
      <c r="H1719" s="1525"/>
    </row>
    <row r="1720" spans="1:8" ht="25.8">
      <c r="A1720" s="830"/>
      <c r="B1720" s="830"/>
      <c r="C1720" s="1525" t="s">
        <v>1078</v>
      </c>
      <c r="D1720" s="1525"/>
      <c r="E1720" s="1525"/>
      <c r="F1720" s="1525"/>
      <c r="G1720" s="1525"/>
      <c r="H1720" s="1525"/>
    </row>
    <row r="1721" spans="1:8" ht="15.6">
      <c r="A1721" s="769"/>
      <c r="B1721" s="769"/>
      <c r="C1721" s="769"/>
      <c r="D1721" s="769"/>
      <c r="E1721" s="769"/>
      <c r="F1721" s="769"/>
      <c r="G1721" s="769"/>
      <c r="H1721" s="769"/>
    </row>
    <row r="1722" spans="1:8" ht="15.6">
      <c r="A1722" s="769"/>
      <c r="B1722" s="769"/>
      <c r="C1722" s="769"/>
      <c r="D1722" s="769"/>
      <c r="E1722" s="769"/>
      <c r="F1722" s="769"/>
      <c r="G1722" s="769"/>
      <c r="H1722" s="769"/>
    </row>
    <row r="1723" spans="1:8" ht="18">
      <c r="A1723" s="1531" t="s">
        <v>3</v>
      </c>
      <c r="B1723" s="1531" t="s">
        <v>4</v>
      </c>
      <c r="C1723" s="1531" t="s">
        <v>5</v>
      </c>
      <c r="D1723" s="1531" t="s">
        <v>6</v>
      </c>
      <c r="E1723" s="1531" t="s">
        <v>7</v>
      </c>
      <c r="F1723" s="1001" t="s">
        <v>8</v>
      </c>
      <c r="G1723" s="1001" t="s">
        <v>9</v>
      </c>
      <c r="H1723" s="1001" t="s">
        <v>10</v>
      </c>
    </row>
    <row r="1724" spans="1:8" ht="18">
      <c r="A1724" s="1532"/>
      <c r="B1724" s="1532"/>
      <c r="C1724" s="1532"/>
      <c r="D1724" s="1532"/>
      <c r="E1724" s="1532"/>
      <c r="F1724" s="1002" t="s">
        <v>11</v>
      </c>
      <c r="G1724" s="1002" t="s">
        <v>11</v>
      </c>
      <c r="H1724" s="1002" t="s">
        <v>11</v>
      </c>
    </row>
    <row r="1725" spans="1:8" ht="18">
      <c r="A1725" s="1001" t="s">
        <v>12</v>
      </c>
      <c r="B1725" s="1003" t="s">
        <v>364</v>
      </c>
      <c r="C1725" s="1004"/>
      <c r="D1725" s="1005"/>
      <c r="E1725" s="1005"/>
      <c r="F1725" s="1005"/>
      <c r="G1725" s="1006"/>
      <c r="H1725" s="1007"/>
    </row>
    <row r="1726" spans="1:8" ht="18">
      <c r="A1726" s="1008"/>
      <c r="B1726" s="1009" t="s">
        <v>1801</v>
      </c>
      <c r="C1726" s="1010">
        <v>1</v>
      </c>
      <c r="D1726" s="1011" t="s">
        <v>44</v>
      </c>
      <c r="E1726" s="1011" t="s">
        <v>16</v>
      </c>
      <c r="F1726" s="1022">
        <v>8950000</v>
      </c>
      <c r="G1726" s="1012">
        <f>C1726*F1726</f>
        <v>8950000</v>
      </c>
      <c r="H1726" s="1007"/>
    </row>
    <row r="1727" spans="1:8" ht="18">
      <c r="A1727" s="1008"/>
      <c r="B1727" s="1021" t="s">
        <v>1802</v>
      </c>
      <c r="C1727" s="1010"/>
      <c r="D1727" s="1011"/>
      <c r="E1727" s="1011"/>
      <c r="F1727" s="1022"/>
      <c r="G1727" s="1012"/>
      <c r="H1727" s="1007"/>
    </row>
    <row r="1728" spans="1:8" ht="18">
      <c r="A1728" s="1008"/>
      <c r="B1728" s="1009" t="s">
        <v>1803</v>
      </c>
      <c r="C1728" s="1010">
        <v>1</v>
      </c>
      <c r="D1728" s="1011" t="s">
        <v>44</v>
      </c>
      <c r="E1728" s="1011" t="s">
        <v>16</v>
      </c>
      <c r="F1728" s="1022">
        <v>8882500</v>
      </c>
      <c r="G1728" s="1012">
        <f>C1728*F1728</f>
        <v>8882500</v>
      </c>
      <c r="H1728" s="1007"/>
    </row>
    <row r="1729" spans="1:8" ht="18">
      <c r="A1729" s="1008"/>
      <c r="B1729" s="1021" t="s">
        <v>1804</v>
      </c>
      <c r="C1729" s="1010"/>
      <c r="D1729" s="1011"/>
      <c r="E1729" s="1011"/>
      <c r="F1729" s="1022"/>
      <c r="G1729" s="1012"/>
      <c r="H1729" s="1007"/>
    </row>
    <row r="1730" spans="1:8" ht="18">
      <c r="A1730" s="1013"/>
      <c r="B1730" s="1014"/>
      <c r="C1730" s="1015"/>
      <c r="D1730" s="1016"/>
      <c r="E1730" s="1016"/>
      <c r="F1730" s="1017"/>
      <c r="G1730" s="1017"/>
      <c r="H1730" s="1018">
        <f>SUM(G1726:G1729)</f>
        <v>17832500</v>
      </c>
    </row>
    <row r="1731" spans="1:8" ht="18">
      <c r="A1731" s="1008" t="s">
        <v>18</v>
      </c>
      <c r="B1731" s="1019" t="s">
        <v>19</v>
      </c>
      <c r="C1731" s="1020"/>
      <c r="D1731" s="1011"/>
      <c r="E1731" s="1011"/>
      <c r="F1731" s="1021"/>
      <c r="G1731" s="1022"/>
      <c r="H1731" s="1007"/>
    </row>
    <row r="1732" spans="1:8" ht="18">
      <c r="A1732" s="1023"/>
      <c r="B1732" s="1009" t="s">
        <v>1805</v>
      </c>
      <c r="C1732" s="1010">
        <v>1</v>
      </c>
      <c r="D1732" s="1011" t="s">
        <v>138</v>
      </c>
      <c r="E1732" s="1011" t="s">
        <v>51</v>
      </c>
      <c r="F1732" s="1022">
        <v>1800000</v>
      </c>
      <c r="G1732" s="1022">
        <f>F1732*C1732</f>
        <v>1800000</v>
      </c>
      <c r="H1732" s="1007"/>
    </row>
    <row r="1733" spans="1:8" ht="18">
      <c r="A1733" s="1023"/>
      <c r="B1733" s="1009"/>
      <c r="C1733" s="1010"/>
      <c r="D1733" s="1011"/>
      <c r="E1733" s="1011"/>
      <c r="F1733" s="1022"/>
      <c r="G1733" s="1022"/>
      <c r="H1733" s="1007"/>
    </row>
    <row r="1734" spans="1:8" ht="18">
      <c r="A1734" s="1023"/>
      <c r="B1734" s="1076" t="s">
        <v>1808</v>
      </c>
      <c r="C1734" s="1022"/>
      <c r="D1734" s="1011"/>
      <c r="E1734" s="1011"/>
      <c r="F1734" s="1022"/>
      <c r="G1734" s="1022"/>
      <c r="H1734" s="1007"/>
    </row>
    <row r="1735" spans="1:8" ht="18">
      <c r="A1735" s="1025"/>
      <c r="B1735" s="1026"/>
      <c r="C1735" s="1027"/>
      <c r="D1735" s="1028"/>
      <c r="E1735" s="1029"/>
      <c r="F1735" s="1029" t="s">
        <v>25</v>
      </c>
      <c r="G1735" s="1030">
        <f>SUM(G1732:G1732)</f>
        <v>1800000</v>
      </c>
      <c r="H1735" s="1018"/>
    </row>
    <row r="1736" spans="1:8" ht="18">
      <c r="A1736" s="1031"/>
      <c r="B1736" s="1032"/>
      <c r="C1736" s="1033"/>
      <c r="D1736" s="1033"/>
      <c r="E1736" s="1034"/>
      <c r="F1736" s="1035" t="s">
        <v>1151</v>
      </c>
      <c r="G1736" s="1036">
        <f>G1735/10</f>
        <v>180000</v>
      </c>
      <c r="H1736" s="1037"/>
    </row>
    <row r="1737" spans="1:8" ht="18">
      <c r="A1737" s="1038"/>
      <c r="B1737" s="1039"/>
      <c r="C1737" s="1040"/>
      <c r="D1737" s="1040"/>
      <c r="E1737" s="1041"/>
      <c r="F1737" s="1042"/>
      <c r="G1737" s="1043"/>
      <c r="H1737" s="1044">
        <f>G1735+G1736</f>
        <v>1980000</v>
      </c>
    </row>
    <row r="1738" spans="1:8" ht="18">
      <c r="A1738" s="1031"/>
      <c r="B1738" s="1032"/>
      <c r="C1738" s="1033"/>
      <c r="D1738" s="1033"/>
      <c r="E1738" s="1034"/>
      <c r="F1738" s="1035"/>
      <c r="G1738" s="1045"/>
      <c r="H1738" s="1046"/>
    </row>
    <row r="1739" spans="1:8" ht="18">
      <c r="A1739" s="1047"/>
      <c r="B1739" s="1048"/>
      <c r="C1739" s="1048"/>
      <c r="D1739" s="1048"/>
      <c r="E1739" s="1048"/>
      <c r="F1739" s="1049"/>
      <c r="G1739" s="1050" t="s">
        <v>28</v>
      </c>
      <c r="H1739" s="1006">
        <f>H1737+H1730</f>
        <v>19812500</v>
      </c>
    </row>
    <row r="1740" spans="1:8" ht="18">
      <c r="A1740" s="1051"/>
      <c r="B1740" s="1052"/>
      <c r="C1740" s="1053"/>
      <c r="D1740" s="1053"/>
      <c r="E1740" s="1053"/>
      <c r="F1740" s="1054"/>
      <c r="G1740" s="1055" t="s">
        <v>30</v>
      </c>
      <c r="H1740" s="1056">
        <f>ROUND(H1739,-3)</f>
        <v>19813000</v>
      </c>
    </row>
    <row r="1741" spans="1:8" ht="15.6">
      <c r="A1741" s="49"/>
      <c r="B1741" s="49"/>
      <c r="C1741" s="49"/>
      <c r="D1741" s="49"/>
      <c r="E1741" s="49"/>
      <c r="F1741" s="49"/>
      <c r="G1741" s="49"/>
      <c r="H1741" s="50"/>
    </row>
    <row r="1742" spans="1:8" ht="18">
      <c r="A1742" s="768" t="s">
        <v>1150</v>
      </c>
      <c r="B1742" s="49"/>
      <c r="C1742" s="49"/>
      <c r="D1742" s="49"/>
      <c r="E1742" s="49"/>
      <c r="F1742" s="49"/>
      <c r="G1742" s="49"/>
      <c r="H1742" s="50"/>
    </row>
    <row r="1743" spans="1:8" ht="17.399999999999999">
      <c r="A1743" s="49"/>
      <c r="B1743" s="965" t="s">
        <v>1753</v>
      </c>
      <c r="C1743" s="49"/>
      <c r="D1743" s="49"/>
      <c r="E1743" s="49"/>
      <c r="F1743" s="49"/>
      <c r="G1743" s="49"/>
      <c r="H1743" s="50"/>
    </row>
    <row r="1744" spans="1:8" ht="15.6">
      <c r="A1744" s="49"/>
      <c r="B1744" s="49"/>
      <c r="C1744" s="49"/>
      <c r="D1744" s="49"/>
      <c r="E1744" s="49"/>
      <c r="F1744" s="49"/>
      <c r="G1744" s="49"/>
      <c r="H1744" s="50"/>
    </row>
    <row r="1745" spans="1:8" ht="18">
      <c r="A1745" s="51"/>
      <c r="B1745" s="51"/>
      <c r="C1745" s="51"/>
      <c r="D1745" s="51"/>
      <c r="E1745" s="51"/>
      <c r="F1745" s="51"/>
      <c r="G1745" s="1530" t="s">
        <v>1806</v>
      </c>
      <c r="H1745" s="1530"/>
    </row>
    <row r="1746" spans="1:8" ht="18">
      <c r="A1746" s="1530" t="s">
        <v>31</v>
      </c>
      <c r="B1746" s="1530"/>
      <c r="C1746" s="1530" t="s">
        <v>32</v>
      </c>
      <c r="D1746" s="1530"/>
      <c r="E1746" s="1530"/>
      <c r="F1746" s="958"/>
      <c r="G1746" s="1530" t="s">
        <v>33</v>
      </c>
      <c r="H1746" s="1530"/>
    </row>
    <row r="1747" spans="1:8" ht="18">
      <c r="A1747" s="958"/>
      <c r="B1747" s="958"/>
      <c r="C1747" s="958"/>
      <c r="D1747" s="958"/>
      <c r="E1747" s="958"/>
      <c r="F1747" s="958"/>
      <c r="G1747" s="958"/>
      <c r="H1747" s="958"/>
    </row>
    <row r="1748" spans="1:8" ht="18">
      <c r="A1748" s="958"/>
      <c r="B1748" s="958"/>
      <c r="C1748" s="958"/>
      <c r="D1748" s="958"/>
      <c r="E1748" s="958"/>
      <c r="F1748" s="958"/>
      <c r="G1748" s="958"/>
      <c r="H1748" s="958"/>
    </row>
    <row r="1749" spans="1:8" ht="18">
      <c r="A1749" s="958"/>
      <c r="B1749" s="958"/>
      <c r="C1749" s="958"/>
      <c r="D1749" s="958"/>
      <c r="E1749" s="958"/>
      <c r="F1749" s="958"/>
      <c r="G1749" s="958"/>
      <c r="H1749" s="958"/>
    </row>
    <row r="1750" spans="1:8" ht="18">
      <c r="A1750" s="1529" t="s">
        <v>1622</v>
      </c>
      <c r="B1750" s="1529"/>
      <c r="C1750" s="1529" t="s">
        <v>1603</v>
      </c>
      <c r="D1750" s="1529"/>
      <c r="E1750" s="1529"/>
      <c r="F1750" s="958"/>
      <c r="G1750" s="1529" t="s">
        <v>1661</v>
      </c>
      <c r="H1750" s="1529"/>
    </row>
    <row r="1751" spans="1:8" ht="18">
      <c r="A1751" s="1530" t="s">
        <v>37</v>
      </c>
      <c r="B1751" s="1530"/>
      <c r="C1751" s="1530" t="s">
        <v>1604</v>
      </c>
      <c r="D1751" s="1530"/>
      <c r="E1751" s="1530"/>
      <c r="F1751" s="958"/>
      <c r="G1751" s="1530" t="s">
        <v>39</v>
      </c>
      <c r="H1751" s="1530"/>
    </row>
    <row r="1787" spans="1:8" ht="28.8">
      <c r="A1787" s="597"/>
      <c r="B1787" s="597"/>
      <c r="C1787" s="1513" t="s">
        <v>1705</v>
      </c>
      <c r="D1787" s="1513"/>
      <c r="E1787" s="1513"/>
      <c r="F1787" s="1513"/>
      <c r="G1787" s="1513"/>
      <c r="H1787" s="1513"/>
    </row>
    <row r="1788" spans="1:8" ht="28.8">
      <c r="A1788" s="597"/>
      <c r="B1788" s="597"/>
      <c r="C1788" s="1541" t="s">
        <v>1706</v>
      </c>
      <c r="D1788" s="1541"/>
      <c r="E1788" s="1541"/>
      <c r="F1788" s="1541"/>
      <c r="G1788" s="1541"/>
      <c r="H1788" s="1541"/>
    </row>
    <row r="1789" spans="1:8" ht="23.4">
      <c r="A1789" s="830"/>
      <c r="B1789" s="830"/>
      <c r="C1789" s="1537"/>
      <c r="D1789" s="1537"/>
      <c r="E1789" s="1537"/>
      <c r="F1789" s="1537"/>
      <c r="G1789" s="1537"/>
      <c r="H1789" s="1537"/>
    </row>
    <row r="1790" spans="1:8" ht="15.6">
      <c r="A1790" s="769"/>
      <c r="B1790" s="769"/>
      <c r="C1790" s="769"/>
      <c r="D1790" s="769"/>
      <c r="E1790" s="769"/>
      <c r="F1790" s="769"/>
      <c r="G1790" s="769"/>
      <c r="H1790" s="769"/>
    </row>
    <row r="1791" spans="1:8" ht="15.6">
      <c r="A1791" s="769"/>
      <c r="B1791" s="769"/>
      <c r="C1791" s="769"/>
      <c r="D1791" s="769"/>
      <c r="E1791" s="769"/>
      <c r="F1791" s="769"/>
      <c r="G1791" s="769"/>
      <c r="H1791" s="769"/>
    </row>
    <row r="1792" spans="1:8" ht="15.75" customHeight="1">
      <c r="A1792" s="1516" t="s">
        <v>3</v>
      </c>
      <c r="B1792" s="1516" t="s">
        <v>4</v>
      </c>
      <c r="C1792" s="1516" t="s">
        <v>5</v>
      </c>
      <c r="D1792" s="1516" t="s">
        <v>6</v>
      </c>
      <c r="E1792" s="1516" t="s">
        <v>7</v>
      </c>
      <c r="F1792" s="770" t="s">
        <v>8</v>
      </c>
      <c r="G1792" s="770" t="s">
        <v>9</v>
      </c>
      <c r="H1792" s="770" t="s">
        <v>10</v>
      </c>
    </row>
    <row r="1793" spans="1:8" ht="15.6">
      <c r="A1793" s="1517"/>
      <c r="B1793" s="1517"/>
      <c r="C1793" s="1517"/>
      <c r="D1793" s="1517"/>
      <c r="E1793" s="1517"/>
      <c r="F1793" s="771" t="s">
        <v>11</v>
      </c>
      <c r="G1793" s="771" t="s">
        <v>11</v>
      </c>
      <c r="H1793" s="771" t="s">
        <v>11</v>
      </c>
    </row>
    <row r="1794" spans="1:8" ht="15.6">
      <c r="A1794" s="770"/>
      <c r="B1794" s="772"/>
      <c r="C1794" s="773"/>
      <c r="D1794" s="774"/>
      <c r="E1794" s="774"/>
      <c r="F1794" s="774"/>
      <c r="G1794" s="775"/>
      <c r="H1794" s="776"/>
    </row>
    <row r="1795" spans="1:8" ht="15.6">
      <c r="A1795" s="786" t="s">
        <v>12</v>
      </c>
      <c r="B1795" s="778" t="s">
        <v>1707</v>
      </c>
      <c r="C1795" s="779">
        <v>1</v>
      </c>
      <c r="D1795" s="780" t="s">
        <v>21</v>
      </c>
      <c r="E1795" s="780" t="s">
        <v>16</v>
      </c>
      <c r="F1795" s="791">
        <v>1250000</v>
      </c>
      <c r="G1795" s="791">
        <f>F1795*C1795</f>
        <v>1250000</v>
      </c>
      <c r="H1795" s="971"/>
    </row>
    <row r="1796" spans="1:8" ht="15.6">
      <c r="A1796" s="786"/>
      <c r="B1796" s="778" t="s">
        <v>1708</v>
      </c>
      <c r="C1796" s="779"/>
      <c r="D1796" s="780"/>
      <c r="E1796" s="780"/>
      <c r="F1796" s="780"/>
      <c r="G1796" s="986"/>
      <c r="H1796" s="971"/>
    </row>
    <row r="1797" spans="1:8" ht="15.6">
      <c r="A1797" s="786"/>
      <c r="B1797" s="778" t="s">
        <v>1709</v>
      </c>
      <c r="C1797" s="779"/>
      <c r="D1797" s="780"/>
      <c r="E1797" s="780"/>
      <c r="F1797" s="791"/>
      <c r="G1797" s="791"/>
      <c r="H1797" s="971"/>
    </row>
    <row r="1798" spans="1:8" ht="15.6">
      <c r="A1798" s="786"/>
      <c r="B1798" s="778" t="s">
        <v>1710</v>
      </c>
      <c r="C1798" s="779"/>
      <c r="D1798" s="780"/>
      <c r="E1798" s="780"/>
      <c r="F1798" s="780"/>
      <c r="G1798" s="986"/>
      <c r="H1798" s="971"/>
    </row>
    <row r="1799" spans="1:8" ht="15.6">
      <c r="A1799" s="786"/>
      <c r="B1799" s="778" t="s">
        <v>1711</v>
      </c>
      <c r="C1799" s="779"/>
      <c r="D1799" s="780"/>
      <c r="E1799" s="780"/>
      <c r="F1799" s="791"/>
      <c r="G1799" s="791"/>
      <c r="H1799" s="971"/>
    </row>
    <row r="1800" spans="1:8" ht="15.6">
      <c r="A1800" s="786"/>
      <c r="B1800" s="778" t="s">
        <v>1712</v>
      </c>
      <c r="C1800" s="779"/>
      <c r="D1800" s="780"/>
      <c r="E1800" s="780"/>
      <c r="F1800" s="791"/>
      <c r="G1800" s="791"/>
      <c r="H1800" s="971"/>
    </row>
    <row r="1801" spans="1:8" ht="15.6">
      <c r="A1801" s="790"/>
      <c r="B1801" s="777"/>
      <c r="C1801" s="788"/>
      <c r="D1801" s="780"/>
      <c r="E1801" s="780"/>
      <c r="F1801" s="788"/>
      <c r="G1801" s="788"/>
      <c r="H1801" s="789"/>
    </row>
    <row r="1802" spans="1:8" ht="15.6">
      <c r="A1802" s="793"/>
      <c r="B1802" s="783"/>
      <c r="C1802" s="794"/>
      <c r="D1802" s="795"/>
      <c r="E1802" s="811"/>
      <c r="F1802" s="811" t="s">
        <v>25</v>
      </c>
      <c r="G1802" s="813">
        <f>G1795</f>
        <v>1250000</v>
      </c>
      <c r="H1802" s="810"/>
    </row>
    <row r="1803" spans="1:8" ht="15.6">
      <c r="A1803" s="820"/>
      <c r="B1803" s="821"/>
      <c r="C1803" s="822"/>
      <c r="D1803" s="822"/>
      <c r="E1803" s="823"/>
      <c r="F1803" s="819" t="s">
        <v>1151</v>
      </c>
      <c r="G1803" s="964"/>
      <c r="H1803" s="825"/>
    </row>
    <row r="1804" spans="1:8" ht="15.6">
      <c r="A1804" s="796"/>
      <c r="B1804" s="797"/>
      <c r="C1804" s="784"/>
      <c r="D1804" s="784"/>
      <c r="E1804" s="785"/>
      <c r="F1804" s="812"/>
      <c r="G1804" s="798"/>
      <c r="H1804" s="826">
        <f>G1802+G1803</f>
        <v>1250000</v>
      </c>
    </row>
    <row r="1805" spans="1:8" ht="15.6">
      <c r="A1805" s="820"/>
      <c r="B1805" s="821"/>
      <c r="C1805" s="822"/>
      <c r="D1805" s="822"/>
      <c r="E1805" s="823"/>
      <c r="F1805" s="819"/>
      <c r="G1805" s="824"/>
      <c r="H1805" s="827"/>
    </row>
    <row r="1806" spans="1:8" ht="15.6">
      <c r="A1806" s="799"/>
      <c r="B1806" s="800"/>
      <c r="C1806" s="800"/>
      <c r="D1806" s="800"/>
      <c r="E1806" s="800"/>
      <c r="F1806" s="801"/>
      <c r="G1806" s="828" t="s">
        <v>28</v>
      </c>
      <c r="H1806" s="775">
        <f>H1804</f>
        <v>1250000</v>
      </c>
    </row>
    <row r="1807" spans="1:8" ht="15.6">
      <c r="A1807" s="802"/>
      <c r="B1807" s="803"/>
      <c r="C1807" s="804"/>
      <c r="D1807" s="804"/>
      <c r="E1807" s="804"/>
      <c r="F1807" s="805"/>
      <c r="G1807" s="829" t="s">
        <v>30</v>
      </c>
      <c r="H1807" s="807">
        <f>ROUND(H1806,-3)</f>
        <v>1250000</v>
      </c>
    </row>
    <row r="1808" spans="1:8" ht="15.6">
      <c r="A1808" s="49"/>
      <c r="B1808" s="49"/>
      <c r="C1808" s="49"/>
      <c r="D1808" s="49"/>
      <c r="E1808" s="49"/>
      <c r="F1808" s="49"/>
      <c r="G1808" s="49"/>
      <c r="H1808" s="50"/>
    </row>
    <row r="1809" spans="1:8" ht="18">
      <c r="A1809" s="768" t="s">
        <v>1150</v>
      </c>
      <c r="B1809" s="49"/>
      <c r="C1809" s="49"/>
      <c r="D1809" s="49"/>
      <c r="E1809" s="49"/>
      <c r="F1809" s="49"/>
      <c r="G1809" s="49"/>
      <c r="H1809" s="50"/>
    </row>
    <row r="1810" spans="1:8" ht="17.399999999999999">
      <c r="A1810" s="49"/>
      <c r="B1810" s="965" t="s">
        <v>1643</v>
      </c>
      <c r="C1810" s="49"/>
      <c r="D1810" s="49"/>
      <c r="E1810" s="49"/>
      <c r="F1810" s="49"/>
      <c r="G1810" s="49"/>
      <c r="H1810" s="50"/>
    </row>
    <row r="1811" spans="1:8" ht="15.6">
      <c r="A1811" s="49"/>
      <c r="B1811" s="49"/>
      <c r="C1811" s="49"/>
      <c r="D1811" s="49"/>
      <c r="E1811" s="49"/>
      <c r="F1811" s="49"/>
      <c r="G1811" s="49"/>
      <c r="H1811" s="50"/>
    </row>
    <row r="1812" spans="1:8" ht="15.6">
      <c r="A1812" s="51"/>
      <c r="B1812" s="51"/>
      <c r="C1812" s="51"/>
      <c r="D1812" s="51"/>
      <c r="E1812" s="51"/>
      <c r="F1812" s="51"/>
      <c r="G1812" s="1509" t="s">
        <v>1677</v>
      </c>
      <c r="H1812" s="1509"/>
    </row>
    <row r="1813" spans="1:8" ht="15.6">
      <c r="A1813" s="1509" t="s">
        <v>31</v>
      </c>
      <c r="B1813" s="1509"/>
      <c r="C1813" s="1509" t="s">
        <v>32</v>
      </c>
      <c r="D1813" s="1509"/>
      <c r="E1813" s="1509"/>
      <c r="F1813" s="51"/>
      <c r="G1813" s="1509" t="s">
        <v>33</v>
      </c>
      <c r="H1813" s="1509"/>
    </row>
    <row r="1814" spans="1:8" ht="15.6">
      <c r="A1814" s="51"/>
      <c r="B1814" s="51"/>
      <c r="C1814" s="51"/>
      <c r="D1814" s="51"/>
      <c r="E1814" s="51"/>
      <c r="F1814" s="51"/>
      <c r="G1814" s="51"/>
      <c r="H1814" s="51"/>
    </row>
    <row r="1815" spans="1:8" ht="15.6">
      <c r="A1815" s="51"/>
      <c r="B1815" s="51"/>
      <c r="C1815" s="51"/>
      <c r="D1815" s="51"/>
      <c r="E1815" s="51"/>
      <c r="F1815" s="51"/>
      <c r="G1815" s="51"/>
      <c r="H1815" s="51"/>
    </row>
    <row r="1816" spans="1:8" ht="15.6">
      <c r="A1816" s="51"/>
      <c r="B1816" s="51"/>
      <c r="C1816" s="51"/>
      <c r="D1816" s="51"/>
      <c r="E1816" s="51"/>
      <c r="F1816" s="51"/>
      <c r="G1816" s="51"/>
      <c r="H1816" s="51"/>
    </row>
    <row r="1817" spans="1:8" ht="15.6">
      <c r="A1817" s="1512" t="s">
        <v>1622</v>
      </c>
      <c r="B1817" s="1512"/>
      <c r="C1817" s="1512" t="s">
        <v>1603</v>
      </c>
      <c r="D1817" s="1512"/>
      <c r="E1817" s="1512"/>
      <c r="F1817" s="51"/>
      <c r="G1817" s="1512" t="s">
        <v>1661</v>
      </c>
      <c r="H1817" s="1512"/>
    </row>
    <row r="1818" spans="1:8" ht="15.6">
      <c r="A1818" s="1509" t="s">
        <v>37</v>
      </c>
      <c r="B1818" s="1509"/>
      <c r="C1818" s="1509" t="s">
        <v>1604</v>
      </c>
      <c r="D1818" s="1509"/>
      <c r="E1818" s="1509"/>
      <c r="F1818" s="51"/>
      <c r="G1818" s="1509" t="s">
        <v>39</v>
      </c>
      <c r="H1818" s="1509"/>
    </row>
    <row r="1819" spans="1:8" ht="15.6">
      <c r="A1819" s="602"/>
      <c r="B1819" s="602"/>
      <c r="C1819" s="602"/>
      <c r="D1819" s="602"/>
      <c r="E1819" s="602"/>
      <c r="F1819" s="51"/>
      <c r="G1819" s="602"/>
      <c r="H1819" s="602"/>
    </row>
    <row r="1820" spans="1:8" ht="31.2">
      <c r="A1820" s="597"/>
      <c r="B1820" s="597"/>
      <c r="C1820" s="1552" t="s">
        <v>235</v>
      </c>
      <c r="D1820" s="1552"/>
      <c r="E1820" s="1552"/>
      <c r="F1820" s="1552"/>
      <c r="G1820" s="1552"/>
      <c r="H1820" s="1552"/>
    </row>
    <row r="1821" spans="1:8" ht="28.8">
      <c r="A1821" s="597"/>
      <c r="B1821" s="597"/>
      <c r="C1821" s="1525" t="s">
        <v>1696</v>
      </c>
      <c r="D1821" s="1525"/>
      <c r="E1821" s="1525"/>
      <c r="F1821" s="1525"/>
      <c r="G1821" s="1525"/>
      <c r="H1821" s="1525"/>
    </row>
    <row r="1822" spans="1:8" ht="25.8">
      <c r="A1822" s="830"/>
      <c r="B1822" s="830"/>
      <c r="C1822" s="1526" t="s">
        <v>1302</v>
      </c>
      <c r="D1822" s="1526"/>
      <c r="E1822" s="1526"/>
      <c r="F1822" s="1526"/>
      <c r="G1822" s="1526"/>
      <c r="H1822" s="1526"/>
    </row>
    <row r="1823" spans="1:8" ht="15.6">
      <c r="A1823" s="769"/>
      <c r="B1823" s="769"/>
      <c r="C1823" s="769"/>
      <c r="D1823" s="769"/>
      <c r="E1823" s="769"/>
      <c r="F1823" s="769"/>
      <c r="G1823" s="769"/>
      <c r="H1823" s="769"/>
    </row>
    <row r="1824" spans="1:8" ht="15.6">
      <c r="A1824" s="769"/>
      <c r="B1824" s="769"/>
      <c r="C1824" s="769"/>
      <c r="D1824" s="769"/>
      <c r="E1824" s="769"/>
      <c r="F1824" s="769"/>
      <c r="G1824" s="769"/>
      <c r="H1824" s="769"/>
    </row>
    <row r="1825" spans="1:8" ht="18">
      <c r="A1825" s="1531" t="s">
        <v>3</v>
      </c>
      <c r="B1825" s="1531" t="s">
        <v>4</v>
      </c>
      <c r="C1825" s="1531" t="s">
        <v>5</v>
      </c>
      <c r="D1825" s="1531" t="s">
        <v>6</v>
      </c>
      <c r="E1825" s="1531" t="s">
        <v>7</v>
      </c>
      <c r="F1825" s="1001" t="s">
        <v>8</v>
      </c>
      <c r="G1825" s="1001" t="s">
        <v>9</v>
      </c>
      <c r="H1825" s="1001" t="s">
        <v>10</v>
      </c>
    </row>
    <row r="1826" spans="1:8" ht="18">
      <c r="A1826" s="1532"/>
      <c r="B1826" s="1532"/>
      <c r="C1826" s="1532"/>
      <c r="D1826" s="1532"/>
      <c r="E1826" s="1532"/>
      <c r="F1826" s="1002" t="s">
        <v>11</v>
      </c>
      <c r="G1826" s="1002" t="s">
        <v>11</v>
      </c>
      <c r="H1826" s="1002" t="s">
        <v>11</v>
      </c>
    </row>
    <row r="1827" spans="1:8" ht="18">
      <c r="A1827" s="1001" t="s">
        <v>12</v>
      </c>
      <c r="B1827" s="1003" t="s">
        <v>364</v>
      </c>
      <c r="C1827" s="1004"/>
      <c r="D1827" s="1005"/>
      <c r="E1827" s="1005"/>
      <c r="F1827" s="1005"/>
      <c r="G1827" s="1006"/>
      <c r="H1827" s="1007"/>
    </row>
    <row r="1828" spans="1:8" ht="18">
      <c r="A1828" s="1008"/>
      <c r="B1828" s="1009" t="s">
        <v>1750</v>
      </c>
      <c r="C1828" s="1010">
        <v>12</v>
      </c>
      <c r="D1828" s="1011" t="s">
        <v>1665</v>
      </c>
      <c r="E1828" s="1011" t="s">
        <v>16</v>
      </c>
      <c r="F1828" s="1022">
        <v>400000</v>
      </c>
      <c r="G1828" s="1012">
        <f>C1828*F1828</f>
        <v>4800000</v>
      </c>
      <c r="H1828" s="1007"/>
    </row>
    <row r="1829" spans="1:8" ht="18">
      <c r="A1829" s="1008"/>
      <c r="B1829" s="1009" t="s">
        <v>1701</v>
      </c>
      <c r="C1829" s="1010">
        <v>4</v>
      </c>
      <c r="D1829" s="1011" t="s">
        <v>44</v>
      </c>
      <c r="E1829" s="1011" t="s">
        <v>16</v>
      </c>
      <c r="F1829" s="1022">
        <v>571800</v>
      </c>
      <c r="G1829" s="1012">
        <f>C1829*F1829</f>
        <v>2287200</v>
      </c>
      <c r="H1829" s="1007"/>
    </row>
    <row r="1830" spans="1:8" ht="18">
      <c r="A1830" s="1008"/>
      <c r="B1830" s="1009" t="s">
        <v>1702</v>
      </c>
      <c r="C1830" s="1010">
        <v>6</v>
      </c>
      <c r="D1830" s="1011" t="s">
        <v>44</v>
      </c>
      <c r="E1830" s="1011" t="s">
        <v>16</v>
      </c>
      <c r="F1830" s="1022">
        <v>130700</v>
      </c>
      <c r="G1830" s="1012">
        <f>C1830*F1830</f>
        <v>784200</v>
      </c>
      <c r="H1830" s="1007"/>
    </row>
    <row r="1831" spans="1:8" ht="18">
      <c r="A1831" s="1008"/>
      <c r="B1831" s="1009" t="s">
        <v>1703</v>
      </c>
      <c r="C1831" s="1010">
        <v>4</v>
      </c>
      <c r="D1831" s="1011" t="s">
        <v>44</v>
      </c>
      <c r="E1831" s="1011" t="s">
        <v>16</v>
      </c>
      <c r="F1831" s="1022">
        <v>90000</v>
      </c>
      <c r="G1831" s="1012">
        <f>C1831*F1831</f>
        <v>360000</v>
      </c>
      <c r="H1831" s="1007"/>
    </row>
    <row r="1832" spans="1:8" ht="18">
      <c r="A1832" s="1008"/>
      <c r="B1832" s="1009" t="s">
        <v>1704</v>
      </c>
      <c r="C1832" s="1010">
        <v>24</v>
      </c>
      <c r="D1832" s="1011" t="s">
        <v>44</v>
      </c>
      <c r="E1832" s="1011" t="s">
        <v>16</v>
      </c>
      <c r="F1832" s="1022">
        <v>4600</v>
      </c>
      <c r="G1832" s="1012">
        <f>C1832*F1832</f>
        <v>110400</v>
      </c>
      <c r="H1832" s="1007"/>
    </row>
    <row r="1833" spans="1:8" ht="18">
      <c r="A1833" s="1013"/>
      <c r="B1833" s="1014"/>
      <c r="C1833" s="1015"/>
      <c r="D1833" s="1016"/>
      <c r="E1833" s="1016"/>
      <c r="F1833" s="1017"/>
      <c r="G1833" s="1017"/>
      <c r="H1833" s="1018">
        <f>SUM(G1828:G1832)</f>
        <v>8341800</v>
      </c>
    </row>
    <row r="1834" spans="1:8" ht="18">
      <c r="A1834" s="1008" t="s">
        <v>18</v>
      </c>
      <c r="B1834" s="1019" t="s">
        <v>19</v>
      </c>
      <c r="C1834" s="1020"/>
      <c r="D1834" s="1011"/>
      <c r="E1834" s="1011"/>
      <c r="F1834" s="1021"/>
      <c r="G1834" s="1022"/>
      <c r="H1834" s="1007"/>
    </row>
    <row r="1835" spans="1:8" ht="18">
      <c r="A1835" s="1023"/>
      <c r="B1835" s="1009" t="s">
        <v>1751</v>
      </c>
      <c r="C1835" s="1010">
        <v>13</v>
      </c>
      <c r="D1835" s="1011" t="s">
        <v>1665</v>
      </c>
      <c r="E1835" s="1011" t="s">
        <v>82</v>
      </c>
      <c r="F1835" s="1022">
        <v>214375</v>
      </c>
      <c r="G1835" s="1022">
        <f t="shared" ref="G1835:G1840" si="8">F1835*C1835</f>
        <v>2786875</v>
      </c>
      <c r="H1835" s="1007"/>
    </row>
    <row r="1836" spans="1:8" ht="18">
      <c r="A1836" s="1023"/>
      <c r="B1836" s="1009" t="s">
        <v>1697</v>
      </c>
      <c r="C1836" s="1010">
        <v>13</v>
      </c>
      <c r="D1836" s="1011" t="s">
        <v>1665</v>
      </c>
      <c r="E1836" s="1011" t="s">
        <v>82</v>
      </c>
      <c r="F1836" s="1022">
        <v>53325</v>
      </c>
      <c r="G1836" s="1022">
        <f t="shared" si="8"/>
        <v>693225</v>
      </c>
      <c r="H1836" s="1007"/>
    </row>
    <row r="1837" spans="1:8" ht="18">
      <c r="A1837" s="1023"/>
      <c r="B1837" s="1009" t="s">
        <v>1698</v>
      </c>
      <c r="C1837" s="1010">
        <v>1</v>
      </c>
      <c r="D1837" s="1011" t="s">
        <v>897</v>
      </c>
      <c r="E1837" s="1011" t="s">
        <v>51</v>
      </c>
      <c r="F1837" s="1022">
        <v>250000</v>
      </c>
      <c r="G1837" s="1022">
        <f t="shared" si="8"/>
        <v>250000</v>
      </c>
      <c r="H1837" s="1007"/>
    </row>
    <row r="1838" spans="1:8" ht="18">
      <c r="A1838" s="1023"/>
      <c r="B1838" s="1009" t="s">
        <v>1699</v>
      </c>
      <c r="C1838" s="1010">
        <v>1</v>
      </c>
      <c r="D1838" s="1011" t="s">
        <v>1665</v>
      </c>
      <c r="E1838" s="1011" t="s">
        <v>51</v>
      </c>
      <c r="F1838" s="1022">
        <v>300000</v>
      </c>
      <c r="G1838" s="1022">
        <f t="shared" si="8"/>
        <v>300000</v>
      </c>
      <c r="H1838" s="1007"/>
    </row>
    <row r="1839" spans="1:8" ht="18">
      <c r="A1839" s="1023"/>
      <c r="B1839" s="1009" t="s">
        <v>1700</v>
      </c>
      <c r="C1839" s="1010">
        <v>1</v>
      </c>
      <c r="D1839" s="1011" t="s">
        <v>138</v>
      </c>
      <c r="E1839" s="1011" t="s">
        <v>51</v>
      </c>
      <c r="F1839" s="1022">
        <v>300000</v>
      </c>
      <c r="G1839" s="1022">
        <f t="shared" si="8"/>
        <v>300000</v>
      </c>
      <c r="H1839" s="1007"/>
    </row>
    <row r="1840" spans="1:8" ht="18">
      <c r="A1840" s="1023"/>
      <c r="B1840" s="1009" t="s">
        <v>1752</v>
      </c>
      <c r="C1840" s="1010">
        <v>1</v>
      </c>
      <c r="D1840" s="1011" t="s">
        <v>138</v>
      </c>
      <c r="E1840" s="1011" t="s">
        <v>51</v>
      </c>
      <c r="F1840" s="1022">
        <v>1000000</v>
      </c>
      <c r="G1840" s="1022">
        <f t="shared" si="8"/>
        <v>1000000</v>
      </c>
      <c r="H1840" s="1007"/>
    </row>
    <row r="1841" spans="1:8" ht="18">
      <c r="A1841" s="1023"/>
      <c r="B1841" s="1024"/>
      <c r="C1841" s="1022"/>
      <c r="D1841" s="1011"/>
      <c r="E1841" s="1011"/>
      <c r="F1841" s="1022"/>
      <c r="G1841" s="1022"/>
      <c r="H1841" s="1007"/>
    </row>
    <row r="1842" spans="1:8" ht="18">
      <c r="A1842" s="1025"/>
      <c r="B1842" s="1026"/>
      <c r="C1842" s="1027"/>
      <c r="D1842" s="1028"/>
      <c r="E1842" s="1029"/>
      <c r="F1842" s="1029" t="s">
        <v>25</v>
      </c>
      <c r="G1842" s="1030">
        <f>SUM(G1835:G1840)</f>
        <v>5330100</v>
      </c>
      <c r="H1842" s="1018"/>
    </row>
    <row r="1843" spans="1:8" ht="18">
      <c r="A1843" s="1031"/>
      <c r="B1843" s="1032"/>
      <c r="C1843" s="1033"/>
      <c r="D1843" s="1033"/>
      <c r="E1843" s="1034"/>
      <c r="F1843" s="1035" t="s">
        <v>1151</v>
      </c>
      <c r="G1843" s="1036">
        <f>G1842/10</f>
        <v>533010</v>
      </c>
      <c r="H1843" s="1037"/>
    </row>
    <row r="1844" spans="1:8" ht="18">
      <c r="A1844" s="1038"/>
      <c r="B1844" s="1039"/>
      <c r="C1844" s="1040"/>
      <c r="D1844" s="1040"/>
      <c r="E1844" s="1041"/>
      <c r="F1844" s="1042"/>
      <c r="G1844" s="1043"/>
      <c r="H1844" s="1044">
        <f>G1842+G1843</f>
        <v>5863110</v>
      </c>
    </row>
    <row r="1845" spans="1:8" ht="18">
      <c r="A1845" s="1031"/>
      <c r="B1845" s="1032"/>
      <c r="C1845" s="1033"/>
      <c r="D1845" s="1033"/>
      <c r="E1845" s="1034"/>
      <c r="F1845" s="1035"/>
      <c r="G1845" s="1045"/>
      <c r="H1845" s="1046"/>
    </row>
    <row r="1846" spans="1:8" ht="18">
      <c r="A1846" s="1047"/>
      <c r="B1846" s="1048"/>
      <c r="C1846" s="1048"/>
      <c r="D1846" s="1048"/>
      <c r="E1846" s="1048"/>
      <c r="F1846" s="1049"/>
      <c r="G1846" s="1050" t="s">
        <v>28</v>
      </c>
      <c r="H1846" s="1006">
        <f>H1844+H1833</f>
        <v>14204910</v>
      </c>
    </row>
    <row r="1847" spans="1:8" ht="18">
      <c r="A1847" s="1051"/>
      <c r="B1847" s="1052"/>
      <c r="C1847" s="1053"/>
      <c r="D1847" s="1053"/>
      <c r="E1847" s="1053"/>
      <c r="F1847" s="1054"/>
      <c r="G1847" s="1055" t="s">
        <v>30</v>
      </c>
      <c r="H1847" s="1056">
        <f>ROUND(H1846,-3)</f>
        <v>14205000</v>
      </c>
    </row>
    <row r="1848" spans="1:8" ht="15.6">
      <c r="A1848" s="49"/>
      <c r="B1848" s="49"/>
      <c r="C1848" s="49"/>
      <c r="D1848" s="49"/>
      <c r="E1848" s="49"/>
      <c r="F1848" s="49"/>
      <c r="G1848" s="49"/>
      <c r="H1848" s="50"/>
    </row>
    <row r="1849" spans="1:8" ht="18">
      <c r="A1849" s="768" t="s">
        <v>1150</v>
      </c>
      <c r="B1849" s="49"/>
      <c r="C1849" s="49"/>
      <c r="D1849" s="49"/>
      <c r="E1849" s="49"/>
      <c r="F1849" s="49"/>
      <c r="G1849" s="49"/>
      <c r="H1849" s="50"/>
    </row>
    <row r="1850" spans="1:8" ht="17.399999999999999">
      <c r="A1850" s="49"/>
      <c r="B1850" s="965" t="s">
        <v>1753</v>
      </c>
      <c r="C1850" s="49"/>
      <c r="D1850" s="49"/>
      <c r="E1850" s="49"/>
      <c r="F1850" s="49"/>
      <c r="G1850" s="49"/>
      <c r="H1850" s="50"/>
    </row>
    <row r="1851" spans="1:8" ht="15.6">
      <c r="A1851" s="49"/>
      <c r="B1851" s="49"/>
      <c r="C1851" s="49"/>
      <c r="D1851" s="49"/>
      <c r="E1851" s="49"/>
      <c r="F1851" s="49"/>
      <c r="G1851" s="49"/>
      <c r="H1851" s="50"/>
    </row>
    <row r="1852" spans="1:8" ht="18">
      <c r="A1852" s="51"/>
      <c r="B1852" s="51"/>
      <c r="C1852" s="51"/>
      <c r="D1852" s="51"/>
      <c r="E1852" s="51"/>
      <c r="F1852" s="51"/>
      <c r="G1852" s="1530" t="s">
        <v>1677</v>
      </c>
      <c r="H1852" s="1530"/>
    </row>
    <row r="1853" spans="1:8" ht="18">
      <c r="A1853" s="1530" t="s">
        <v>31</v>
      </c>
      <c r="B1853" s="1530"/>
      <c r="C1853" s="1530" t="s">
        <v>32</v>
      </c>
      <c r="D1853" s="1530"/>
      <c r="E1853" s="1530"/>
      <c r="F1853" s="958"/>
      <c r="G1853" s="1530" t="s">
        <v>33</v>
      </c>
      <c r="H1853" s="1530"/>
    </row>
    <row r="1854" spans="1:8" ht="18">
      <c r="A1854" s="958"/>
      <c r="B1854" s="958"/>
      <c r="C1854" s="958"/>
      <c r="D1854" s="958"/>
      <c r="E1854" s="958"/>
      <c r="F1854" s="958"/>
      <c r="G1854" s="958"/>
      <c r="H1854" s="958"/>
    </row>
    <row r="1855" spans="1:8" ht="18">
      <c r="A1855" s="958"/>
      <c r="B1855" s="958"/>
      <c r="C1855" s="958"/>
      <c r="D1855" s="958"/>
      <c r="E1855" s="958"/>
      <c r="F1855" s="958"/>
      <c r="G1855" s="958"/>
      <c r="H1855" s="958"/>
    </row>
    <row r="1856" spans="1:8" ht="18">
      <c r="A1856" s="958"/>
      <c r="B1856" s="958"/>
      <c r="C1856" s="958"/>
      <c r="D1856" s="958"/>
      <c r="E1856" s="958"/>
      <c r="F1856" s="958"/>
      <c r="G1856" s="958"/>
      <c r="H1856" s="958"/>
    </row>
    <row r="1857" spans="1:8" ht="18">
      <c r="A1857" s="1529" t="s">
        <v>1622</v>
      </c>
      <c r="B1857" s="1529"/>
      <c r="C1857" s="1529" t="s">
        <v>1603</v>
      </c>
      <c r="D1857" s="1529"/>
      <c r="E1857" s="1529"/>
      <c r="F1857" s="958"/>
      <c r="G1857" s="1529" t="s">
        <v>1661</v>
      </c>
      <c r="H1857" s="1529"/>
    </row>
    <row r="1858" spans="1:8" ht="18">
      <c r="A1858" s="1530" t="s">
        <v>37</v>
      </c>
      <c r="B1858" s="1530"/>
      <c r="C1858" s="1530" t="s">
        <v>1604</v>
      </c>
      <c r="D1858" s="1530"/>
      <c r="E1858" s="1530"/>
      <c r="F1858" s="958"/>
      <c r="G1858" s="1530" t="s">
        <v>39</v>
      </c>
      <c r="H1858" s="1530"/>
    </row>
    <row r="1864" spans="1:8" ht="28.8">
      <c r="A1864" s="597"/>
      <c r="B1864" s="597"/>
      <c r="C1864" s="1513" t="s">
        <v>235</v>
      </c>
      <c r="D1864" s="1513"/>
      <c r="E1864" s="1513"/>
      <c r="F1864" s="1513"/>
      <c r="G1864" s="1513"/>
      <c r="H1864" s="1513"/>
    </row>
    <row r="1865" spans="1:8" ht="28.8">
      <c r="A1865" s="597"/>
      <c r="B1865" s="597"/>
      <c r="C1865" s="1541" t="s">
        <v>1695</v>
      </c>
      <c r="D1865" s="1541"/>
      <c r="E1865" s="1541"/>
      <c r="F1865" s="1541"/>
      <c r="G1865" s="1541"/>
      <c r="H1865" s="1541"/>
    </row>
    <row r="1866" spans="1:8" ht="23.4">
      <c r="A1866" s="830"/>
      <c r="B1866" s="830"/>
      <c r="C1866" s="1537" t="s">
        <v>1684</v>
      </c>
      <c r="D1866" s="1537"/>
      <c r="E1866" s="1537"/>
      <c r="F1866" s="1537"/>
      <c r="G1866" s="1537"/>
      <c r="H1866" s="1537"/>
    </row>
    <row r="1867" spans="1:8" ht="15.6">
      <c r="A1867" s="769"/>
      <c r="B1867" s="769"/>
      <c r="C1867" s="769"/>
      <c r="D1867" s="769"/>
      <c r="E1867" s="769"/>
      <c r="F1867" s="769"/>
      <c r="G1867" s="769"/>
      <c r="H1867" s="769"/>
    </row>
    <row r="1868" spans="1:8" ht="15.6">
      <c r="A1868" s="769"/>
      <c r="B1868" s="769"/>
      <c r="C1868" s="769"/>
      <c r="D1868" s="769"/>
      <c r="E1868" s="769"/>
      <c r="F1868" s="769"/>
      <c r="G1868" s="769"/>
      <c r="H1868" s="769"/>
    </row>
    <row r="1869" spans="1:8" ht="15.6">
      <c r="A1869" s="1516" t="s">
        <v>3</v>
      </c>
      <c r="B1869" s="1516" t="s">
        <v>4</v>
      </c>
      <c r="C1869" s="1516" t="s">
        <v>5</v>
      </c>
      <c r="D1869" s="1516" t="s">
        <v>6</v>
      </c>
      <c r="E1869" s="1516" t="s">
        <v>7</v>
      </c>
      <c r="F1869" s="770" t="s">
        <v>8</v>
      </c>
      <c r="G1869" s="770" t="s">
        <v>9</v>
      </c>
      <c r="H1869" s="770" t="s">
        <v>10</v>
      </c>
    </row>
    <row r="1870" spans="1:8" ht="15.6">
      <c r="A1870" s="1517"/>
      <c r="B1870" s="1517"/>
      <c r="C1870" s="1517"/>
      <c r="D1870" s="1517"/>
      <c r="E1870" s="1517"/>
      <c r="F1870" s="771" t="s">
        <v>11</v>
      </c>
      <c r="G1870" s="771" t="s">
        <v>11</v>
      </c>
      <c r="H1870" s="771" t="s">
        <v>11</v>
      </c>
    </row>
    <row r="1871" spans="1:8" ht="15.6">
      <c r="A1871" s="786" t="s">
        <v>12</v>
      </c>
      <c r="B1871" s="787" t="s">
        <v>19</v>
      </c>
      <c r="C1871" s="782"/>
      <c r="D1871" s="780"/>
      <c r="E1871" s="780"/>
      <c r="F1871" s="778"/>
      <c r="G1871" s="788"/>
      <c r="H1871" s="789"/>
    </row>
    <row r="1872" spans="1:8" ht="15.6">
      <c r="A1872" s="790"/>
      <c r="B1872" s="778" t="s">
        <v>1685</v>
      </c>
      <c r="C1872" s="779"/>
      <c r="D1872" s="791"/>
      <c r="E1872" s="780"/>
      <c r="F1872" s="789"/>
      <c r="G1872" s="788"/>
      <c r="H1872" s="789"/>
    </row>
    <row r="1873" spans="1:8" ht="15.6">
      <c r="A1873" s="790"/>
      <c r="B1873" s="969" t="s">
        <v>1686</v>
      </c>
      <c r="C1873" s="779">
        <v>3</v>
      </c>
      <c r="D1873" s="780" t="s">
        <v>21</v>
      </c>
      <c r="E1873" s="780" t="s">
        <v>16</v>
      </c>
      <c r="F1873" s="788">
        <v>6000000</v>
      </c>
      <c r="G1873" s="788">
        <f>F1873*C1873</f>
        <v>18000000</v>
      </c>
      <c r="H1873" s="789"/>
    </row>
    <row r="1874" spans="1:8" ht="15.6">
      <c r="A1874" s="790"/>
      <c r="B1874" s="969" t="s">
        <v>1687</v>
      </c>
      <c r="C1874" s="779">
        <v>3</v>
      </c>
      <c r="D1874" s="780" t="s">
        <v>44</v>
      </c>
      <c r="E1874" s="780" t="s">
        <v>51</v>
      </c>
      <c r="F1874" s="788">
        <v>1250000</v>
      </c>
      <c r="G1874" s="788">
        <f>F1874*C1874</f>
        <v>3750000</v>
      </c>
      <c r="H1874" s="789"/>
    </row>
    <row r="1875" spans="1:8" ht="15.6">
      <c r="A1875" s="790"/>
      <c r="B1875" s="969" t="s">
        <v>1688</v>
      </c>
      <c r="C1875" s="779">
        <v>3</v>
      </c>
      <c r="D1875" s="780" t="s">
        <v>44</v>
      </c>
      <c r="E1875" s="780" t="s">
        <v>51</v>
      </c>
      <c r="F1875" s="788">
        <v>750000</v>
      </c>
      <c r="G1875" s="788">
        <f>F1875*C1875</f>
        <v>2250000</v>
      </c>
      <c r="H1875" s="789"/>
    </row>
    <row r="1876" spans="1:8" ht="15.6">
      <c r="A1876" s="790"/>
      <c r="B1876" s="969" t="s">
        <v>1689</v>
      </c>
      <c r="C1876" s="779">
        <v>3</v>
      </c>
      <c r="D1876" s="780" t="s">
        <v>21</v>
      </c>
      <c r="E1876" s="780" t="s">
        <v>51</v>
      </c>
      <c r="F1876" s="788">
        <v>648855</v>
      </c>
      <c r="G1876" s="788">
        <f>F1876*C1876</f>
        <v>1946565</v>
      </c>
      <c r="H1876" s="789"/>
    </row>
    <row r="1877" spans="1:8" ht="15.6">
      <c r="A1877" s="790"/>
      <c r="B1877" s="969"/>
      <c r="C1877" s="779"/>
      <c r="D1877" s="780"/>
      <c r="E1877" s="780"/>
      <c r="F1877" s="788"/>
      <c r="G1877" s="788"/>
      <c r="H1877" s="789"/>
    </row>
    <row r="1878" spans="1:8" ht="15.6">
      <c r="A1878" s="790"/>
      <c r="B1878" s="778" t="s">
        <v>1690</v>
      </c>
      <c r="C1878" s="779"/>
      <c r="D1878" s="791"/>
      <c r="E1878" s="780"/>
      <c r="F1878" s="789"/>
      <c r="G1878" s="788"/>
      <c r="H1878" s="789"/>
    </row>
    <row r="1879" spans="1:8" ht="15.6">
      <c r="A1879" s="790"/>
      <c r="B1879" s="969" t="s">
        <v>1691</v>
      </c>
      <c r="C1879" s="779">
        <v>1</v>
      </c>
      <c r="D1879" s="780" t="s">
        <v>21</v>
      </c>
      <c r="E1879" s="780" t="s">
        <v>16</v>
      </c>
      <c r="F1879" s="788">
        <v>7500000</v>
      </c>
      <c r="G1879" s="788">
        <f>F1879*C1879</f>
        <v>7500000</v>
      </c>
      <c r="H1879" s="789"/>
    </row>
    <row r="1880" spans="1:8" ht="15.6">
      <c r="A1880" s="790"/>
      <c r="B1880" s="969" t="s">
        <v>1692</v>
      </c>
      <c r="C1880" s="779">
        <v>1</v>
      </c>
      <c r="D1880" s="780" t="s">
        <v>44</v>
      </c>
      <c r="E1880" s="780" t="s">
        <v>51</v>
      </c>
      <c r="F1880" s="788">
        <v>1250000</v>
      </c>
      <c r="G1880" s="788">
        <f>F1880*C1880</f>
        <v>1250000</v>
      </c>
      <c r="H1880" s="789"/>
    </row>
    <row r="1881" spans="1:8" ht="15.6">
      <c r="A1881" s="790"/>
      <c r="B1881" s="969" t="s">
        <v>1693</v>
      </c>
      <c r="C1881" s="779">
        <v>1</v>
      </c>
      <c r="D1881" s="780" t="s">
        <v>44</v>
      </c>
      <c r="E1881" s="780" t="s">
        <v>51</v>
      </c>
      <c r="F1881" s="788">
        <v>750000</v>
      </c>
      <c r="G1881" s="788">
        <f>F1881*C1881</f>
        <v>750000</v>
      </c>
      <c r="H1881" s="789"/>
    </row>
    <row r="1882" spans="1:8" ht="15.6">
      <c r="A1882" s="790"/>
      <c r="B1882" s="969" t="s">
        <v>1694</v>
      </c>
      <c r="C1882" s="779">
        <v>1</v>
      </c>
      <c r="D1882" s="780" t="s">
        <v>21</v>
      </c>
      <c r="E1882" s="780" t="s">
        <v>51</v>
      </c>
      <c r="F1882" s="788">
        <v>648855</v>
      </c>
      <c r="G1882" s="788">
        <f>F1882*C1882</f>
        <v>648855</v>
      </c>
      <c r="H1882" s="789"/>
    </row>
    <row r="1883" spans="1:8" ht="18.75" customHeight="1">
      <c r="A1883" s="790"/>
      <c r="B1883" s="969"/>
      <c r="C1883" s="779"/>
      <c r="D1883" s="780"/>
      <c r="E1883" s="780"/>
      <c r="F1883" s="788"/>
      <c r="G1883" s="788"/>
      <c r="H1883" s="789"/>
    </row>
    <row r="1884" spans="1:8" ht="16.5" customHeight="1">
      <c r="A1884" s="790"/>
      <c r="B1884" s="969"/>
      <c r="C1884" s="779"/>
      <c r="D1884" s="780"/>
      <c r="E1884" s="780"/>
      <c r="F1884" s="788"/>
      <c r="G1884" s="788"/>
      <c r="H1884" s="789"/>
    </row>
    <row r="1885" spans="1:8" ht="15.6">
      <c r="A1885" s="790"/>
      <c r="B1885" s="777"/>
      <c r="C1885" s="788"/>
      <c r="D1885" s="780"/>
      <c r="E1885" s="780"/>
      <c r="F1885" s="788"/>
      <c r="G1885" s="788"/>
      <c r="H1885" s="789"/>
    </row>
    <row r="1886" spans="1:8" ht="15.6">
      <c r="A1886" s="793"/>
      <c r="B1886" s="783"/>
      <c r="C1886" s="794"/>
      <c r="D1886" s="795"/>
      <c r="E1886" s="811"/>
      <c r="F1886" s="811" t="s">
        <v>25</v>
      </c>
      <c r="G1886" s="813">
        <f>SUM(G1872:G1885)</f>
        <v>36095420</v>
      </c>
      <c r="H1886" s="810"/>
    </row>
    <row r="1887" spans="1:8" ht="15.6">
      <c r="A1887" s="820"/>
      <c r="B1887" s="821"/>
      <c r="C1887" s="822"/>
      <c r="D1887" s="822"/>
      <c r="E1887" s="823"/>
      <c r="F1887" s="819" t="s">
        <v>1151</v>
      </c>
      <c r="G1887" s="964">
        <f>G1886/10</f>
        <v>3609542</v>
      </c>
      <c r="H1887" s="825"/>
    </row>
    <row r="1888" spans="1:8" ht="15.6">
      <c r="A1888" s="796"/>
      <c r="B1888" s="797"/>
      <c r="C1888" s="784"/>
      <c r="D1888" s="784"/>
      <c r="E1888" s="785"/>
      <c r="F1888" s="812"/>
      <c r="G1888" s="798"/>
      <c r="H1888" s="826">
        <f>G1886+G1887</f>
        <v>39704962</v>
      </c>
    </row>
    <row r="1889" spans="1:8" ht="15.6">
      <c r="A1889" s="820"/>
      <c r="B1889" s="821"/>
      <c r="C1889" s="822"/>
      <c r="D1889" s="822"/>
      <c r="E1889" s="823"/>
      <c r="F1889" s="819"/>
      <c r="G1889" s="824"/>
      <c r="H1889" s="827"/>
    </row>
    <row r="1890" spans="1:8" ht="15.6">
      <c r="A1890" s="799"/>
      <c r="B1890" s="800"/>
      <c r="C1890" s="800"/>
      <c r="D1890" s="800"/>
      <c r="E1890" s="800"/>
      <c r="F1890" s="801"/>
      <c r="G1890" s="828" t="s">
        <v>28</v>
      </c>
      <c r="H1890" s="775">
        <f>H1888</f>
        <v>39704962</v>
      </c>
    </row>
    <row r="1891" spans="1:8" ht="15.6">
      <c r="A1891" s="802"/>
      <c r="B1891" s="803"/>
      <c r="C1891" s="804"/>
      <c r="D1891" s="804"/>
      <c r="E1891" s="804"/>
      <c r="F1891" s="805"/>
      <c r="G1891" s="829" t="s">
        <v>30</v>
      </c>
      <c r="H1891" s="807">
        <f>ROUND(H1890,-3)</f>
        <v>39705000</v>
      </c>
    </row>
    <row r="1892" spans="1:8" ht="15.6">
      <c r="A1892" s="49"/>
      <c r="B1892" s="49"/>
      <c r="C1892" s="49"/>
      <c r="D1892" s="49"/>
      <c r="E1892" s="49"/>
      <c r="F1892" s="49"/>
      <c r="G1892" s="49"/>
      <c r="H1892" s="50"/>
    </row>
    <row r="1893" spans="1:8" ht="18">
      <c r="A1893" s="768" t="s">
        <v>1150</v>
      </c>
      <c r="B1893" s="49"/>
      <c r="C1893" s="49"/>
      <c r="D1893" s="49"/>
      <c r="E1893" s="49"/>
      <c r="F1893" s="49"/>
      <c r="G1893" s="49"/>
      <c r="H1893" s="50"/>
    </row>
    <row r="1894" spans="1:8" ht="17.399999999999999">
      <c r="A1894" s="49"/>
      <c r="B1894" s="965" t="s">
        <v>1780</v>
      </c>
      <c r="C1894" s="49"/>
      <c r="D1894" s="49"/>
      <c r="E1894" s="49"/>
      <c r="F1894" s="49"/>
      <c r="G1894" s="49"/>
      <c r="H1894" s="50"/>
    </row>
    <row r="1895" spans="1:8" ht="15.6">
      <c r="A1895" s="49"/>
      <c r="B1895" s="49"/>
      <c r="C1895" s="49"/>
      <c r="D1895" s="49"/>
      <c r="E1895" s="49"/>
      <c r="F1895" s="49"/>
      <c r="G1895" s="49"/>
      <c r="H1895" s="50"/>
    </row>
    <row r="1896" spans="1:8" ht="15.6">
      <c r="A1896" s="51"/>
      <c r="B1896" s="51"/>
      <c r="C1896" s="51"/>
      <c r="D1896" s="51"/>
      <c r="E1896" s="51"/>
      <c r="F1896" s="51"/>
      <c r="G1896" s="1509" t="s">
        <v>1756</v>
      </c>
      <c r="H1896" s="1509"/>
    </row>
    <row r="1897" spans="1:8" ht="15.6">
      <c r="A1897" s="1509" t="s">
        <v>31</v>
      </c>
      <c r="B1897" s="1509"/>
      <c r="C1897" s="1509" t="s">
        <v>32</v>
      </c>
      <c r="D1897" s="1509"/>
      <c r="E1897" s="1509"/>
      <c r="F1897" s="51"/>
      <c r="G1897" s="1509" t="s">
        <v>33</v>
      </c>
      <c r="H1897" s="1509"/>
    </row>
    <row r="1898" spans="1:8" ht="15.6">
      <c r="A1898" s="51"/>
      <c r="B1898" s="51"/>
      <c r="C1898" s="51"/>
      <c r="D1898" s="51"/>
      <c r="E1898" s="51"/>
      <c r="F1898" s="51"/>
      <c r="G1898" s="51"/>
      <c r="H1898" s="51"/>
    </row>
    <row r="1899" spans="1:8" ht="15.6">
      <c r="A1899" s="51"/>
      <c r="B1899" s="51"/>
      <c r="C1899" s="51"/>
      <c r="D1899" s="51"/>
      <c r="E1899" s="51"/>
      <c r="F1899" s="51"/>
      <c r="G1899" s="51"/>
      <c r="H1899" s="51"/>
    </row>
    <row r="1900" spans="1:8" ht="15.6">
      <c r="A1900" s="51"/>
      <c r="B1900" s="51"/>
      <c r="C1900" s="51"/>
      <c r="D1900" s="51"/>
      <c r="E1900" s="51"/>
      <c r="F1900" s="51"/>
      <c r="G1900" s="51"/>
      <c r="H1900" s="51"/>
    </row>
    <row r="1901" spans="1:8" ht="15.6">
      <c r="A1901" s="1512" t="s">
        <v>1622</v>
      </c>
      <c r="B1901" s="1512"/>
      <c r="C1901" s="1512" t="s">
        <v>1778</v>
      </c>
      <c r="D1901" s="1512"/>
      <c r="E1901" s="1512"/>
      <c r="F1901" s="51"/>
      <c r="G1901" s="1512" t="s">
        <v>1661</v>
      </c>
      <c r="H1901" s="1512"/>
    </row>
    <row r="1902" spans="1:8" ht="15.6">
      <c r="A1902" s="1509" t="s">
        <v>37</v>
      </c>
      <c r="B1902" s="1509"/>
      <c r="C1902" s="1509" t="s">
        <v>1779</v>
      </c>
      <c r="D1902" s="1509"/>
      <c r="E1902" s="1509"/>
      <c r="F1902" s="51"/>
      <c r="G1902" s="1509" t="s">
        <v>39</v>
      </c>
      <c r="H1902" s="1509"/>
    </row>
    <row r="1908" spans="1:8" ht="28.8">
      <c r="A1908" s="597"/>
      <c r="B1908" s="597"/>
      <c r="C1908" s="1513" t="s">
        <v>235</v>
      </c>
      <c r="D1908" s="1513"/>
      <c r="E1908" s="1513"/>
      <c r="F1908" s="1513"/>
      <c r="G1908" s="1513"/>
      <c r="H1908" s="1513"/>
    </row>
    <row r="1909" spans="1:8" ht="28.8">
      <c r="A1909" s="597"/>
      <c r="B1909" s="597"/>
      <c r="C1909" s="1541" t="s">
        <v>310</v>
      </c>
      <c r="D1909" s="1541"/>
      <c r="E1909" s="1541"/>
      <c r="F1909" s="1541"/>
      <c r="G1909" s="1541"/>
      <c r="H1909" s="1541"/>
    </row>
    <row r="1910" spans="1:8" ht="23.4">
      <c r="A1910" s="830"/>
      <c r="B1910" s="830"/>
      <c r="C1910" s="1537" t="s">
        <v>1678</v>
      </c>
      <c r="D1910" s="1537"/>
      <c r="E1910" s="1537"/>
      <c r="F1910" s="1537"/>
      <c r="G1910" s="1537"/>
      <c r="H1910" s="1537"/>
    </row>
    <row r="1911" spans="1:8" ht="15.6">
      <c r="A1911" s="769"/>
      <c r="B1911" s="769"/>
      <c r="C1911" s="769"/>
      <c r="D1911" s="769"/>
      <c r="E1911" s="769"/>
      <c r="F1911" s="769"/>
      <c r="G1911" s="769"/>
      <c r="H1911" s="769"/>
    </row>
    <row r="1912" spans="1:8" ht="15.6">
      <c r="A1912" s="769"/>
      <c r="B1912" s="769"/>
      <c r="C1912" s="769"/>
      <c r="D1912" s="769"/>
      <c r="E1912" s="769"/>
      <c r="F1912" s="769"/>
      <c r="G1912" s="769"/>
      <c r="H1912" s="769"/>
    </row>
    <row r="1913" spans="1:8" ht="15.6">
      <c r="A1913" s="1516" t="s">
        <v>3</v>
      </c>
      <c r="B1913" s="1516" t="s">
        <v>4</v>
      </c>
      <c r="C1913" s="1516" t="s">
        <v>5</v>
      </c>
      <c r="D1913" s="1516" t="s">
        <v>6</v>
      </c>
      <c r="E1913" s="1516" t="s">
        <v>7</v>
      </c>
      <c r="F1913" s="770" t="s">
        <v>8</v>
      </c>
      <c r="G1913" s="770" t="s">
        <v>9</v>
      </c>
      <c r="H1913" s="770" t="s">
        <v>10</v>
      </c>
    </row>
    <row r="1914" spans="1:8" ht="15.6">
      <c r="A1914" s="1517"/>
      <c r="B1914" s="1517"/>
      <c r="C1914" s="1517"/>
      <c r="D1914" s="1517"/>
      <c r="E1914" s="1517"/>
      <c r="F1914" s="771" t="s">
        <v>11</v>
      </c>
      <c r="G1914" s="771" t="s">
        <v>11</v>
      </c>
      <c r="H1914" s="771" t="s">
        <v>11</v>
      </c>
    </row>
    <row r="1915" spans="1:8" ht="15.6">
      <c r="A1915" s="770" t="s">
        <v>12</v>
      </c>
      <c r="B1915" s="772" t="s">
        <v>364</v>
      </c>
      <c r="C1915" s="773"/>
      <c r="D1915" s="774"/>
      <c r="E1915" s="774"/>
      <c r="F1915" s="774"/>
      <c r="G1915" s="775"/>
      <c r="H1915" s="776"/>
    </row>
    <row r="1916" spans="1:8" ht="15.6">
      <c r="A1916" s="786"/>
      <c r="B1916" s="969" t="s">
        <v>1541</v>
      </c>
      <c r="C1916" s="779">
        <v>6</v>
      </c>
      <c r="D1916" s="780" t="s">
        <v>132</v>
      </c>
      <c r="E1916" s="780" t="s">
        <v>197</v>
      </c>
      <c r="F1916" s="791" t="s">
        <v>126</v>
      </c>
      <c r="G1916" s="791" t="s">
        <v>126</v>
      </c>
      <c r="H1916" s="971"/>
    </row>
    <row r="1917" spans="1:8" ht="15.6">
      <c r="A1917" s="786"/>
      <c r="B1917" s="969" t="s">
        <v>1542</v>
      </c>
      <c r="C1917" s="779">
        <v>3</v>
      </c>
      <c r="D1917" s="780" t="s">
        <v>132</v>
      </c>
      <c r="E1917" s="780" t="s">
        <v>197</v>
      </c>
      <c r="F1917" s="780" t="s">
        <v>126</v>
      </c>
      <c r="G1917" s="986" t="s">
        <v>126</v>
      </c>
      <c r="H1917" s="971"/>
    </row>
    <row r="1918" spans="1:8" ht="15.6">
      <c r="A1918" s="786"/>
      <c r="B1918" s="969" t="s">
        <v>1543</v>
      </c>
      <c r="C1918" s="779">
        <v>2</v>
      </c>
      <c r="D1918" s="780" t="s">
        <v>44</v>
      </c>
      <c r="E1918" s="780" t="s">
        <v>197</v>
      </c>
      <c r="F1918" s="791" t="s">
        <v>126</v>
      </c>
      <c r="G1918" s="791" t="s">
        <v>126</v>
      </c>
      <c r="H1918" s="971"/>
    </row>
    <row r="1919" spans="1:8" ht="15.6">
      <c r="A1919" s="786"/>
      <c r="B1919" s="969" t="s">
        <v>1544</v>
      </c>
      <c r="C1919" s="779">
        <v>1</v>
      </c>
      <c r="D1919" s="780" t="s">
        <v>44</v>
      </c>
      <c r="E1919" s="780" t="s">
        <v>197</v>
      </c>
      <c r="F1919" s="780" t="s">
        <v>126</v>
      </c>
      <c r="G1919" s="986" t="s">
        <v>126</v>
      </c>
      <c r="H1919" s="971"/>
    </row>
    <row r="1920" spans="1:8" ht="15.6">
      <c r="A1920" s="786"/>
      <c r="B1920" s="969" t="s">
        <v>1545</v>
      </c>
      <c r="C1920" s="779">
        <v>2</v>
      </c>
      <c r="D1920" s="780" t="s">
        <v>44</v>
      </c>
      <c r="E1920" s="780" t="s">
        <v>197</v>
      </c>
      <c r="F1920" s="791" t="s">
        <v>126</v>
      </c>
      <c r="G1920" s="791" t="s">
        <v>126</v>
      </c>
      <c r="H1920" s="971"/>
    </row>
    <row r="1921" spans="1:8" ht="15.6">
      <c r="A1921" s="786"/>
      <c r="B1921" s="969" t="s">
        <v>1546</v>
      </c>
      <c r="C1921" s="779">
        <v>1</v>
      </c>
      <c r="D1921" s="780" t="s">
        <v>44</v>
      </c>
      <c r="E1921" s="780" t="s">
        <v>197</v>
      </c>
      <c r="F1921" s="791" t="s">
        <v>126</v>
      </c>
      <c r="G1921" s="791" t="s">
        <v>126</v>
      </c>
      <c r="H1921" s="971"/>
    </row>
    <row r="1922" spans="1:8" ht="15.6">
      <c r="A1922" s="786"/>
      <c r="B1922" s="969" t="s">
        <v>1547</v>
      </c>
      <c r="C1922" s="779">
        <v>3</v>
      </c>
      <c r="D1922" s="780" t="s">
        <v>44</v>
      </c>
      <c r="E1922" s="780" t="s">
        <v>16</v>
      </c>
      <c r="F1922" s="788">
        <v>75000</v>
      </c>
      <c r="G1922" s="788">
        <f>F1922*C1922</f>
        <v>225000</v>
      </c>
      <c r="H1922" s="971"/>
    </row>
    <row r="1923" spans="1:8" ht="15.6">
      <c r="A1923" s="786"/>
      <c r="B1923" s="969" t="s">
        <v>1548</v>
      </c>
      <c r="C1923" s="779">
        <v>1</v>
      </c>
      <c r="D1923" s="780" t="s">
        <v>44</v>
      </c>
      <c r="E1923" s="780" t="s">
        <v>51</v>
      </c>
      <c r="F1923" s="788">
        <v>150000</v>
      </c>
      <c r="G1923" s="788">
        <f>F1923*C1923</f>
        <v>150000</v>
      </c>
      <c r="H1923" s="971"/>
    </row>
    <row r="1924" spans="1:8" ht="15.6">
      <c r="A1924" s="814"/>
      <c r="B1924" s="806"/>
      <c r="C1924" s="815"/>
      <c r="D1924" s="816"/>
      <c r="E1924" s="816"/>
      <c r="F1924" s="817"/>
      <c r="G1924" s="817"/>
      <c r="H1924" s="818">
        <f>SUM(G1915:G1924)</f>
        <v>375000</v>
      </c>
    </row>
    <row r="1925" spans="1:8" ht="15.6">
      <c r="A1925" s="786" t="s">
        <v>18</v>
      </c>
      <c r="B1925" s="787" t="s">
        <v>19</v>
      </c>
      <c r="C1925" s="782"/>
      <c r="D1925" s="780"/>
      <c r="E1925" s="780"/>
      <c r="F1925" s="778"/>
      <c r="G1925" s="788"/>
      <c r="H1925" s="789"/>
    </row>
    <row r="1926" spans="1:8" ht="15.6">
      <c r="A1926" s="790"/>
      <c r="B1926" s="778" t="s">
        <v>1549</v>
      </c>
      <c r="C1926" s="779"/>
      <c r="D1926" s="791"/>
      <c r="E1926" s="780"/>
      <c r="F1926" s="789"/>
      <c r="G1926" s="788"/>
      <c r="H1926" s="789"/>
    </row>
    <row r="1927" spans="1:8" ht="15.6">
      <c r="A1927" s="790"/>
      <c r="B1927" s="969" t="s">
        <v>1550</v>
      </c>
      <c r="C1927" s="779">
        <v>1</v>
      </c>
      <c r="D1927" s="780" t="s">
        <v>69</v>
      </c>
      <c r="E1927" s="780" t="s">
        <v>51</v>
      </c>
      <c r="F1927" s="788">
        <v>500000</v>
      </c>
      <c r="G1927" s="788">
        <f t="shared" ref="G1927:G1932" si="9">F1927*C1927</f>
        <v>500000</v>
      </c>
      <c r="H1927" s="789"/>
    </row>
    <row r="1928" spans="1:8" ht="16.649999999999999" customHeight="1">
      <c r="A1928" s="790"/>
      <c r="B1928" s="969" t="s">
        <v>1551</v>
      </c>
      <c r="C1928" s="779">
        <v>1</v>
      </c>
      <c r="D1928" s="780" t="s">
        <v>69</v>
      </c>
      <c r="E1928" s="780" t="s">
        <v>51</v>
      </c>
      <c r="F1928" s="788">
        <v>350000</v>
      </c>
      <c r="G1928" s="788">
        <f t="shared" si="9"/>
        <v>350000</v>
      </c>
      <c r="H1928" s="789"/>
    </row>
    <row r="1929" spans="1:8" ht="16.649999999999999" customHeight="1">
      <c r="A1929" s="790"/>
      <c r="B1929" s="969" t="s">
        <v>1552</v>
      </c>
      <c r="C1929" s="779">
        <v>1</v>
      </c>
      <c r="D1929" s="780" t="s">
        <v>21</v>
      </c>
      <c r="E1929" s="780" t="s">
        <v>51</v>
      </c>
      <c r="F1929" s="788">
        <v>300000</v>
      </c>
      <c r="G1929" s="788">
        <f t="shared" si="9"/>
        <v>300000</v>
      </c>
      <c r="H1929" s="789"/>
    </row>
    <row r="1930" spans="1:8" ht="15.75" customHeight="1">
      <c r="A1930" s="790"/>
      <c r="B1930" s="969" t="s">
        <v>1553</v>
      </c>
      <c r="C1930" s="779">
        <v>1</v>
      </c>
      <c r="D1930" s="780" t="s">
        <v>21</v>
      </c>
      <c r="E1930" s="780" t="s">
        <v>51</v>
      </c>
      <c r="F1930" s="788">
        <v>500000</v>
      </c>
      <c r="G1930" s="788">
        <f t="shared" si="9"/>
        <v>500000</v>
      </c>
      <c r="H1930" s="789"/>
    </row>
    <row r="1931" spans="1:8" ht="15.6">
      <c r="A1931" s="790"/>
      <c r="B1931" s="969" t="s">
        <v>1759</v>
      </c>
      <c r="C1931" s="779">
        <v>2</v>
      </c>
      <c r="D1931" s="780" t="s">
        <v>21</v>
      </c>
      <c r="E1931" s="780" t="s">
        <v>51</v>
      </c>
      <c r="F1931" s="788">
        <v>750000</v>
      </c>
      <c r="G1931" s="788">
        <f t="shared" si="9"/>
        <v>1500000</v>
      </c>
      <c r="H1931" s="789"/>
    </row>
    <row r="1932" spans="1:8" ht="15.6">
      <c r="A1932" s="790"/>
      <c r="B1932" s="969" t="s">
        <v>1760</v>
      </c>
      <c r="C1932" s="779">
        <v>1</v>
      </c>
      <c r="D1932" s="780" t="s">
        <v>21</v>
      </c>
      <c r="E1932" s="780" t="s">
        <v>51</v>
      </c>
      <c r="F1932" s="788">
        <v>975000</v>
      </c>
      <c r="G1932" s="788">
        <f t="shared" si="9"/>
        <v>975000</v>
      </c>
      <c r="H1932" s="789"/>
    </row>
    <row r="1933" spans="1:8" ht="15.6">
      <c r="A1933" s="790"/>
      <c r="B1933" s="969"/>
      <c r="C1933" s="779"/>
      <c r="D1933" s="780"/>
      <c r="E1933" s="780"/>
      <c r="F1933" s="788"/>
      <c r="G1933" s="788"/>
      <c r="H1933" s="789"/>
    </row>
    <row r="1934" spans="1:8" ht="15.6">
      <c r="A1934" s="790"/>
      <c r="B1934" s="778" t="s">
        <v>1680</v>
      </c>
      <c r="C1934" s="779"/>
      <c r="D1934" s="780"/>
      <c r="E1934" s="780"/>
      <c r="F1934" s="788"/>
      <c r="G1934" s="788"/>
      <c r="H1934" s="789"/>
    </row>
    <row r="1935" spans="1:8" ht="15.6">
      <c r="A1935" s="790"/>
      <c r="B1935" s="969" t="s">
        <v>1621</v>
      </c>
      <c r="C1935" s="779">
        <v>72</v>
      </c>
      <c r="D1935" s="780" t="s">
        <v>81</v>
      </c>
      <c r="E1935" s="780" t="s">
        <v>82</v>
      </c>
      <c r="F1935" s="788">
        <v>4786.5</v>
      </c>
      <c r="G1935" s="788">
        <f>F1935*C1935</f>
        <v>344628</v>
      </c>
      <c r="H1935" s="789"/>
    </row>
    <row r="1936" spans="1:8" ht="15.6">
      <c r="A1936" s="790"/>
      <c r="B1936" s="969" t="s">
        <v>1558</v>
      </c>
      <c r="C1936" s="779">
        <v>158</v>
      </c>
      <c r="D1936" s="780" t="s">
        <v>84</v>
      </c>
      <c r="E1936" s="780" t="s">
        <v>82</v>
      </c>
      <c r="F1936" s="788">
        <v>3200.16</v>
      </c>
      <c r="G1936" s="788">
        <f>F1936*C1936</f>
        <v>505625.27999999997</v>
      </c>
      <c r="H1936" s="789"/>
    </row>
    <row r="1937" spans="1:8" ht="15.6">
      <c r="A1937" s="790"/>
      <c r="B1937" s="969" t="s">
        <v>1559</v>
      </c>
      <c r="C1937" s="779">
        <v>144</v>
      </c>
      <c r="D1937" s="780" t="s">
        <v>84</v>
      </c>
      <c r="E1937" s="780" t="s">
        <v>82</v>
      </c>
      <c r="F1937" s="788">
        <v>3200.16</v>
      </c>
      <c r="G1937" s="788">
        <f>F1937*C1937</f>
        <v>460823.03999999998</v>
      </c>
      <c r="H1937" s="789"/>
    </row>
    <row r="1938" spans="1:8" ht="15.6">
      <c r="A1938" s="790"/>
      <c r="B1938" s="969" t="s">
        <v>1679</v>
      </c>
      <c r="C1938" s="997">
        <v>36</v>
      </c>
      <c r="D1938" s="780" t="s">
        <v>81</v>
      </c>
      <c r="E1938" s="780" t="s">
        <v>16</v>
      </c>
      <c r="F1938" s="788">
        <v>60867.5</v>
      </c>
      <c r="G1938" s="788">
        <f>F1938*C1938</f>
        <v>2191230</v>
      </c>
      <c r="H1938" s="789"/>
    </row>
    <row r="1939" spans="1:8" ht="15.6">
      <c r="A1939" s="790"/>
      <c r="B1939" s="969"/>
      <c r="C1939" s="779"/>
      <c r="D1939" s="780"/>
      <c r="E1939" s="780"/>
      <c r="F1939" s="788"/>
      <c r="G1939" s="788"/>
      <c r="H1939" s="789"/>
    </row>
    <row r="1940" spans="1:8" ht="15.6">
      <c r="A1940" s="790"/>
      <c r="B1940" s="778" t="s">
        <v>1628</v>
      </c>
      <c r="C1940" s="779">
        <v>1</v>
      </c>
      <c r="D1940" s="780" t="s">
        <v>69</v>
      </c>
      <c r="E1940" s="780" t="s">
        <v>51</v>
      </c>
      <c r="F1940" s="788">
        <v>300000</v>
      </c>
      <c r="G1940" s="788">
        <f>F1940*C1940</f>
        <v>300000</v>
      </c>
      <c r="H1940" s="789"/>
    </row>
    <row r="1941" spans="1:8" ht="15.6">
      <c r="A1941" s="790"/>
      <c r="B1941" s="777"/>
      <c r="C1941" s="788"/>
      <c r="D1941" s="780"/>
      <c r="E1941" s="780"/>
      <c r="F1941" s="788"/>
      <c r="G1941" s="788"/>
      <c r="H1941" s="789"/>
    </row>
    <row r="1942" spans="1:8" ht="15.6">
      <c r="A1942" s="793"/>
      <c r="B1942" s="783"/>
      <c r="C1942" s="794"/>
      <c r="D1942" s="795"/>
      <c r="E1942" s="811"/>
      <c r="F1942" s="811" t="s">
        <v>25</v>
      </c>
      <c r="G1942" s="813">
        <f>SUM(G1926:G1941)</f>
        <v>7927306.3200000003</v>
      </c>
      <c r="H1942" s="810"/>
    </row>
    <row r="1943" spans="1:8" ht="15.6">
      <c r="A1943" s="820"/>
      <c r="B1943" s="821"/>
      <c r="C1943" s="822"/>
      <c r="D1943" s="822"/>
      <c r="E1943" s="823"/>
      <c r="F1943" s="819" t="s">
        <v>1151</v>
      </c>
      <c r="G1943" s="964">
        <f>G1942/10</f>
        <v>792730.63199999998</v>
      </c>
      <c r="H1943" s="825"/>
    </row>
    <row r="1944" spans="1:8" ht="15.6">
      <c r="A1944" s="796"/>
      <c r="B1944" s="797"/>
      <c r="C1944" s="784"/>
      <c r="D1944" s="784"/>
      <c r="E1944" s="785"/>
      <c r="F1944" s="812"/>
      <c r="G1944" s="798"/>
      <c r="H1944" s="826">
        <f>G1942+G1943</f>
        <v>8720036.9519999996</v>
      </c>
    </row>
    <row r="1945" spans="1:8" ht="15.6">
      <c r="A1945" s="820"/>
      <c r="B1945" s="821"/>
      <c r="C1945" s="822"/>
      <c r="D1945" s="822"/>
      <c r="E1945" s="823"/>
      <c r="F1945" s="819"/>
      <c r="G1945" s="824"/>
      <c r="H1945" s="827"/>
    </row>
    <row r="1946" spans="1:8" ht="15.6">
      <c r="A1946" s="799"/>
      <c r="B1946" s="800"/>
      <c r="C1946" s="800"/>
      <c r="D1946" s="800"/>
      <c r="E1946" s="800"/>
      <c r="F1946" s="801"/>
      <c r="G1946" s="828" t="s">
        <v>28</v>
      </c>
      <c r="H1946" s="775">
        <f>H1944+H1924</f>
        <v>9095036.9519999996</v>
      </c>
    </row>
    <row r="1947" spans="1:8" ht="15.6">
      <c r="A1947" s="802"/>
      <c r="B1947" s="803"/>
      <c r="C1947" s="804"/>
      <c r="D1947" s="804"/>
      <c r="E1947" s="804"/>
      <c r="F1947" s="805"/>
      <c r="G1947" s="829" t="s">
        <v>30</v>
      </c>
      <c r="H1947" s="807">
        <f>ROUND(H1946,-3)</f>
        <v>9095000</v>
      </c>
    </row>
    <row r="1948" spans="1:8" ht="15.6">
      <c r="A1948" s="49"/>
      <c r="B1948" s="49"/>
      <c r="C1948" s="49"/>
      <c r="D1948" s="49"/>
      <c r="E1948" s="49"/>
      <c r="F1948" s="49"/>
      <c r="G1948" s="49"/>
      <c r="H1948" s="50"/>
    </row>
    <row r="1949" spans="1:8" ht="18">
      <c r="A1949" s="768" t="s">
        <v>1150</v>
      </c>
      <c r="B1949" s="49"/>
      <c r="C1949" s="49"/>
      <c r="D1949" s="49"/>
      <c r="E1949" s="49"/>
      <c r="F1949" s="49"/>
      <c r="G1949" s="49"/>
      <c r="H1949" s="50"/>
    </row>
    <row r="1950" spans="1:8" ht="17.399999999999999">
      <c r="A1950" s="49"/>
      <c r="B1950" s="965" t="s">
        <v>1761</v>
      </c>
      <c r="C1950" s="49"/>
      <c r="D1950" s="49"/>
      <c r="E1950" s="49"/>
      <c r="F1950" s="49"/>
      <c r="G1950" s="49"/>
      <c r="H1950" s="50"/>
    </row>
    <row r="1951" spans="1:8" ht="15.6">
      <c r="A1951" s="49"/>
      <c r="B1951" s="49"/>
      <c r="C1951" s="49"/>
      <c r="D1951" s="49"/>
      <c r="E1951" s="49"/>
      <c r="F1951" s="49"/>
      <c r="G1951" s="49"/>
      <c r="H1951" s="50"/>
    </row>
    <row r="1952" spans="1:8" ht="15.6">
      <c r="A1952" s="51"/>
      <c r="B1952" s="51"/>
      <c r="C1952" s="51"/>
      <c r="D1952" s="51"/>
      <c r="E1952" s="51"/>
      <c r="F1952" s="51"/>
      <c r="G1952" s="1509" t="s">
        <v>1756</v>
      </c>
      <c r="H1952" s="1509"/>
    </row>
    <row r="1953" spans="1:8" ht="15.6">
      <c r="A1953" s="1509" t="s">
        <v>31</v>
      </c>
      <c r="B1953" s="1509"/>
      <c r="C1953" s="1509" t="s">
        <v>32</v>
      </c>
      <c r="D1953" s="1509"/>
      <c r="E1953" s="1509"/>
      <c r="F1953" s="51"/>
      <c r="G1953" s="1509" t="s">
        <v>33</v>
      </c>
      <c r="H1953" s="1509"/>
    </row>
    <row r="1954" spans="1:8" ht="15.6">
      <c r="A1954" s="51"/>
      <c r="B1954" s="51"/>
      <c r="C1954" s="51"/>
      <c r="D1954" s="51"/>
      <c r="E1954" s="51"/>
      <c r="F1954" s="51"/>
      <c r="G1954" s="51"/>
      <c r="H1954" s="51"/>
    </row>
    <row r="1955" spans="1:8" ht="15.6">
      <c r="A1955" s="51"/>
      <c r="B1955" s="51"/>
      <c r="C1955" s="51"/>
      <c r="D1955" s="51"/>
      <c r="E1955" s="51"/>
      <c r="F1955" s="51"/>
      <c r="G1955" s="51"/>
      <c r="H1955" s="51"/>
    </row>
    <row r="1956" spans="1:8" ht="15.6">
      <c r="A1956" s="51"/>
      <c r="B1956" s="51"/>
      <c r="C1956" s="51"/>
      <c r="D1956" s="51"/>
      <c r="E1956" s="51"/>
      <c r="F1956" s="51"/>
      <c r="G1956" s="51"/>
      <c r="H1956" s="51"/>
    </row>
    <row r="1957" spans="1:8" ht="15.6">
      <c r="A1957" s="1512" t="s">
        <v>1622</v>
      </c>
      <c r="B1957" s="1512"/>
      <c r="C1957" s="1512" t="s">
        <v>1603</v>
      </c>
      <c r="D1957" s="1512"/>
      <c r="E1957" s="1512"/>
      <c r="F1957" s="51"/>
      <c r="G1957" s="1512" t="s">
        <v>1661</v>
      </c>
      <c r="H1957" s="1512"/>
    </row>
    <row r="1958" spans="1:8" ht="15.6">
      <c r="A1958" s="1509" t="s">
        <v>37</v>
      </c>
      <c r="B1958" s="1509"/>
      <c r="C1958" s="1509" t="s">
        <v>1604</v>
      </c>
      <c r="D1958" s="1509"/>
      <c r="E1958" s="1509"/>
      <c r="F1958" s="51"/>
      <c r="G1958" s="1509" t="s">
        <v>39</v>
      </c>
      <c r="H1958" s="1509"/>
    </row>
    <row r="1963" spans="1:8" ht="28.8">
      <c r="A1963" s="597"/>
      <c r="B1963" s="597"/>
      <c r="C1963" s="1513" t="s">
        <v>1667</v>
      </c>
      <c r="D1963" s="1513"/>
      <c r="E1963" s="1513"/>
      <c r="F1963" s="1513"/>
      <c r="G1963" s="1513"/>
      <c r="H1963" s="1513"/>
    </row>
    <row r="1964" spans="1:8" ht="28.8">
      <c r="A1964" s="597"/>
      <c r="B1964" s="597"/>
      <c r="C1964" s="1541" t="s">
        <v>1668</v>
      </c>
      <c r="D1964" s="1541"/>
      <c r="E1964" s="1541"/>
      <c r="F1964" s="1541"/>
      <c r="G1964" s="1541"/>
      <c r="H1964" s="1541"/>
    </row>
    <row r="1965" spans="1:8" ht="23.4">
      <c r="A1965" s="830"/>
      <c r="B1965" s="830"/>
      <c r="C1965" s="1541" t="s">
        <v>1367</v>
      </c>
      <c r="D1965" s="1541"/>
      <c r="E1965" s="1541"/>
      <c r="F1965" s="1541"/>
      <c r="G1965" s="1541"/>
      <c r="H1965" s="1541"/>
    </row>
    <row r="1966" spans="1:8" ht="15.6">
      <c r="A1966" s="769"/>
      <c r="B1966" s="769"/>
      <c r="C1966" s="769"/>
      <c r="D1966" s="769"/>
      <c r="E1966" s="769"/>
      <c r="F1966" s="769"/>
      <c r="G1966" s="769"/>
      <c r="H1966" s="769"/>
    </row>
    <row r="1967" spans="1:8" ht="15.6">
      <c r="A1967" s="769"/>
      <c r="B1967" s="769"/>
      <c r="C1967" s="769"/>
      <c r="D1967" s="769"/>
      <c r="E1967" s="769"/>
      <c r="F1967" s="769"/>
      <c r="G1967" s="769"/>
      <c r="H1967" s="769"/>
    </row>
    <row r="1968" spans="1:8" ht="15.6">
      <c r="A1968" s="1516" t="s">
        <v>3</v>
      </c>
      <c r="B1968" s="1516" t="s">
        <v>4</v>
      </c>
      <c r="C1968" s="1516" t="s">
        <v>5</v>
      </c>
      <c r="D1968" s="1516" t="s">
        <v>6</v>
      </c>
      <c r="E1968" s="1516" t="s">
        <v>7</v>
      </c>
      <c r="F1968" s="770" t="s">
        <v>8</v>
      </c>
      <c r="G1968" s="770" t="s">
        <v>9</v>
      </c>
      <c r="H1968" s="770" t="s">
        <v>10</v>
      </c>
    </row>
    <row r="1969" spans="1:8" ht="15.6">
      <c r="A1969" s="1517"/>
      <c r="B1969" s="1517"/>
      <c r="C1969" s="1517"/>
      <c r="D1969" s="1517"/>
      <c r="E1969" s="1517"/>
      <c r="F1969" s="771" t="s">
        <v>11</v>
      </c>
      <c r="G1969" s="771" t="s">
        <v>11</v>
      </c>
      <c r="H1969" s="771" t="s">
        <v>11</v>
      </c>
    </row>
    <row r="1970" spans="1:8" ht="15.6">
      <c r="A1970" s="770"/>
      <c r="B1970" s="772"/>
      <c r="C1970" s="773"/>
      <c r="D1970" s="774"/>
      <c r="E1970" s="774"/>
      <c r="F1970" s="774"/>
      <c r="G1970" s="775"/>
      <c r="H1970" s="776"/>
    </row>
    <row r="1971" spans="1:8" ht="15.6">
      <c r="A1971" s="786" t="s">
        <v>12</v>
      </c>
      <c r="B1971" s="778" t="s">
        <v>13</v>
      </c>
      <c r="C1971" s="779"/>
      <c r="D1971" s="780"/>
      <c r="E1971" s="780"/>
      <c r="F1971" s="791"/>
      <c r="G1971" s="791"/>
      <c r="H1971" s="971"/>
    </row>
    <row r="1972" spans="1:8" ht="15.6">
      <c r="A1972" s="786"/>
      <c r="B1972" s="969" t="s">
        <v>1669</v>
      </c>
      <c r="C1972" s="779">
        <v>2</v>
      </c>
      <c r="D1972" s="780" t="s">
        <v>44</v>
      </c>
      <c r="E1972" s="780" t="s">
        <v>16</v>
      </c>
      <c r="F1972" s="791">
        <v>2150000</v>
      </c>
      <c r="G1972" s="999">
        <f>F1972*C1972</f>
        <v>4300000</v>
      </c>
      <c r="H1972" s="971"/>
    </row>
    <row r="1973" spans="1:8" ht="15.6">
      <c r="A1973" s="786"/>
      <c r="B1973" s="778" t="s">
        <v>1670</v>
      </c>
      <c r="C1973" s="779"/>
      <c r="D1973" s="780"/>
      <c r="E1973" s="780"/>
      <c r="F1973" s="791"/>
      <c r="G1973" s="999"/>
      <c r="H1973" s="971"/>
    </row>
    <row r="1974" spans="1:8" ht="15.6">
      <c r="A1974" s="786"/>
      <c r="B1974" s="969" t="s">
        <v>1671</v>
      </c>
      <c r="C1974" s="779">
        <v>6</v>
      </c>
      <c r="D1974" s="780" t="s">
        <v>245</v>
      </c>
      <c r="E1974" s="780" t="s">
        <v>82</v>
      </c>
      <c r="F1974" s="791">
        <v>3418</v>
      </c>
      <c r="G1974" s="999">
        <f>F1974*C1974</f>
        <v>20508</v>
      </c>
      <c r="H1974" s="971"/>
    </row>
    <row r="1975" spans="1:8" ht="15.6">
      <c r="A1975" s="786"/>
      <c r="B1975" s="969" t="s">
        <v>1672</v>
      </c>
      <c r="C1975" s="779">
        <v>3</v>
      </c>
      <c r="D1975" s="780" t="s">
        <v>44</v>
      </c>
      <c r="E1975" s="780" t="s">
        <v>82</v>
      </c>
      <c r="F1975" s="791">
        <v>39776</v>
      </c>
      <c r="G1975" s="999">
        <f>F1975*C1975</f>
        <v>119328</v>
      </c>
      <c r="H1975" s="971"/>
    </row>
    <row r="1976" spans="1:8" ht="15.6">
      <c r="A1976" s="786"/>
      <c r="B1976" s="969" t="s">
        <v>1673</v>
      </c>
      <c r="C1976" s="779">
        <v>2</v>
      </c>
      <c r="D1976" s="780" t="s">
        <v>44</v>
      </c>
      <c r="E1976" s="780" t="s">
        <v>16</v>
      </c>
      <c r="F1976" s="791">
        <v>18000</v>
      </c>
      <c r="G1976" s="999">
        <f>F1976*C1976</f>
        <v>36000</v>
      </c>
      <c r="H1976" s="971"/>
    </row>
    <row r="1977" spans="1:8" ht="15.6">
      <c r="A1977" s="786"/>
      <c r="B1977" s="969" t="s">
        <v>1748</v>
      </c>
      <c r="C1977" s="779">
        <v>2</v>
      </c>
      <c r="D1977" s="780" t="s">
        <v>1374</v>
      </c>
      <c r="E1977" s="780" t="s">
        <v>82</v>
      </c>
      <c r="F1977" s="791">
        <v>8000</v>
      </c>
      <c r="G1977" s="791">
        <f>F1977*C1977</f>
        <v>16000</v>
      </c>
      <c r="H1977" s="971"/>
    </row>
    <row r="1978" spans="1:8" ht="15.6">
      <c r="A1978" s="786"/>
      <c r="B1978" s="778"/>
      <c r="C1978" s="779"/>
      <c r="D1978" s="780"/>
      <c r="E1978" s="780"/>
      <c r="F1978" s="791"/>
      <c r="G1978" s="791"/>
      <c r="H1978" s="970">
        <f>SUM(G1972:G1977)</f>
        <v>4491836</v>
      </c>
    </row>
    <row r="1979" spans="1:8" ht="15.6">
      <c r="A1979" s="786" t="s">
        <v>18</v>
      </c>
      <c r="B1979" s="778" t="s">
        <v>19</v>
      </c>
      <c r="C1979" s="779"/>
      <c r="D1979" s="780"/>
      <c r="E1979" s="780"/>
      <c r="F1979" s="791"/>
      <c r="G1979" s="791"/>
      <c r="H1979" s="971"/>
    </row>
    <row r="1980" spans="1:8" ht="15.6">
      <c r="A1980" s="786"/>
      <c r="B1980" s="969" t="s">
        <v>1674</v>
      </c>
      <c r="C1980" s="779">
        <v>1</v>
      </c>
      <c r="D1980" s="780" t="s">
        <v>69</v>
      </c>
      <c r="E1980" s="780" t="s">
        <v>16</v>
      </c>
      <c r="F1980" s="791">
        <v>200000</v>
      </c>
      <c r="G1980" s="999">
        <f>F1980*C1980</f>
        <v>200000</v>
      </c>
      <c r="H1980" s="971"/>
    </row>
    <row r="1981" spans="1:8" ht="15.6">
      <c r="A1981" s="786"/>
      <c r="B1981" s="969" t="s">
        <v>1716</v>
      </c>
      <c r="C1981" s="779">
        <f>2*4*0.3</f>
        <v>2.4</v>
      </c>
      <c r="D1981" s="780" t="s">
        <v>81</v>
      </c>
      <c r="E1981" s="780" t="s">
        <v>82</v>
      </c>
      <c r="F1981" s="791">
        <v>940197</v>
      </c>
      <c r="G1981" s="999">
        <f>F1981*C1981</f>
        <v>2256472.7999999998</v>
      </c>
      <c r="H1981" s="971"/>
    </row>
    <row r="1982" spans="1:8" ht="15.6">
      <c r="A1982" s="786"/>
      <c r="B1982" s="969" t="s">
        <v>1681</v>
      </c>
      <c r="C1982" s="779">
        <v>12</v>
      </c>
      <c r="D1982" s="780" t="s">
        <v>84</v>
      </c>
      <c r="E1982" s="780" t="s">
        <v>16</v>
      </c>
      <c r="F1982" s="791">
        <v>450000</v>
      </c>
      <c r="G1982" s="999">
        <f>F1982*C1982</f>
        <v>5400000</v>
      </c>
      <c r="H1982" s="971"/>
    </row>
    <row r="1983" spans="1:8" ht="15.6">
      <c r="A1983" s="786"/>
      <c r="B1983" s="778" t="s">
        <v>1675</v>
      </c>
      <c r="C1983" s="779"/>
      <c r="D1983" s="780"/>
      <c r="E1983" s="780"/>
      <c r="F1983" s="791"/>
      <c r="G1983" s="999"/>
      <c r="H1983" s="971"/>
    </row>
    <row r="1984" spans="1:8" ht="15.6">
      <c r="A1984" s="786"/>
      <c r="B1984" s="969" t="s">
        <v>1717</v>
      </c>
      <c r="C1984" s="779">
        <v>4</v>
      </c>
      <c r="D1984" s="780" t="s">
        <v>44</v>
      </c>
      <c r="E1984" s="780" t="s">
        <v>51</v>
      </c>
      <c r="F1984" s="791">
        <v>150000</v>
      </c>
      <c r="G1984" s="999">
        <f>F1984*C1984</f>
        <v>600000</v>
      </c>
      <c r="H1984" s="971"/>
    </row>
    <row r="1985" spans="1:8" ht="15.6">
      <c r="A1985" s="786"/>
      <c r="B1985" s="969" t="s">
        <v>1676</v>
      </c>
      <c r="C1985" s="779">
        <v>1</v>
      </c>
      <c r="D1985" s="780" t="s">
        <v>69</v>
      </c>
      <c r="E1985" s="780" t="s">
        <v>16</v>
      </c>
      <c r="F1985" s="791">
        <v>450000</v>
      </c>
      <c r="G1985" s="999">
        <f>F1985*C1985</f>
        <v>450000</v>
      </c>
      <c r="H1985" s="971"/>
    </row>
    <row r="1986" spans="1:8" ht="15.6">
      <c r="A1986" s="786"/>
      <c r="B1986" s="969" t="s">
        <v>1718</v>
      </c>
      <c r="C1986" s="779">
        <v>3.6</v>
      </c>
      <c r="D1986" s="780" t="s">
        <v>245</v>
      </c>
      <c r="E1986" s="780" t="s">
        <v>82</v>
      </c>
      <c r="F1986" s="791">
        <v>230775</v>
      </c>
      <c r="G1986" s="999">
        <f>F1986*C1986</f>
        <v>830790</v>
      </c>
      <c r="H1986" s="971"/>
    </row>
    <row r="1987" spans="1:8" ht="15.6">
      <c r="A1987" s="786"/>
      <c r="B1987" s="969"/>
      <c r="C1987" s="779"/>
      <c r="D1987" s="780"/>
      <c r="E1987" s="780"/>
      <c r="F1987" s="791"/>
      <c r="G1987" s="999"/>
      <c r="H1987" s="971"/>
    </row>
    <row r="1988" spans="1:8" ht="15.6">
      <c r="A1988" s="786"/>
      <c r="B1988" s="969"/>
      <c r="C1988" s="779"/>
      <c r="D1988" s="780"/>
      <c r="E1988" s="780"/>
      <c r="F1988" s="791"/>
      <c r="G1988" s="999"/>
      <c r="H1988" s="971"/>
    </row>
    <row r="1989" spans="1:8" ht="15.6">
      <c r="A1989" s="790"/>
      <c r="B1989" s="777"/>
      <c r="C1989" s="788"/>
      <c r="D1989" s="780"/>
      <c r="E1989" s="780"/>
      <c r="F1989" s="788"/>
      <c r="G1989" s="788"/>
      <c r="H1989" s="789"/>
    </row>
    <row r="1990" spans="1:8" ht="15.6">
      <c r="A1990" s="793"/>
      <c r="B1990" s="783"/>
      <c r="C1990" s="794"/>
      <c r="D1990" s="795"/>
      <c r="E1990" s="811"/>
      <c r="F1990" s="811" t="s">
        <v>25</v>
      </c>
      <c r="G1990" s="813">
        <f>SUM(G1980:G1989)</f>
        <v>9737262.8000000007</v>
      </c>
      <c r="H1990" s="810"/>
    </row>
    <row r="1991" spans="1:8" ht="15.6">
      <c r="A1991" s="820"/>
      <c r="B1991" s="821"/>
      <c r="C1991" s="822"/>
      <c r="D1991" s="822"/>
      <c r="E1991" s="823"/>
      <c r="F1991" s="819" t="s">
        <v>1151</v>
      </c>
      <c r="G1991" s="964">
        <f>G1990*10%</f>
        <v>973726.28000000014</v>
      </c>
      <c r="H1991" s="825"/>
    </row>
    <row r="1992" spans="1:8" ht="15.6">
      <c r="A1992" s="796"/>
      <c r="B1992" s="797"/>
      <c r="C1992" s="784"/>
      <c r="D1992" s="784"/>
      <c r="E1992" s="785"/>
      <c r="F1992" s="812"/>
      <c r="G1992" s="798"/>
      <c r="H1992" s="826">
        <f>G1990+G1991</f>
        <v>10710989.08</v>
      </c>
    </row>
    <row r="1993" spans="1:8" ht="15.6">
      <c r="A1993" s="820"/>
      <c r="B1993" s="821"/>
      <c r="C1993" s="822"/>
      <c r="D1993" s="822"/>
      <c r="E1993" s="823"/>
      <c r="F1993" s="819"/>
      <c r="G1993" s="824"/>
      <c r="H1993" s="827"/>
    </row>
    <row r="1994" spans="1:8" ht="15.6">
      <c r="A1994" s="799"/>
      <c r="B1994" s="800"/>
      <c r="C1994" s="800"/>
      <c r="D1994" s="800"/>
      <c r="E1994" s="800"/>
      <c r="F1994" s="801"/>
      <c r="G1994" s="828" t="s">
        <v>28</v>
      </c>
      <c r="H1994" s="775">
        <f>H1992+H1978</f>
        <v>15202825.08</v>
      </c>
    </row>
    <row r="1995" spans="1:8" ht="15.6">
      <c r="A1995" s="802"/>
      <c r="B1995" s="803"/>
      <c r="C1995" s="804"/>
      <c r="D1995" s="804"/>
      <c r="E1995" s="804"/>
      <c r="F1995" s="805"/>
      <c r="G1995" s="829" t="s">
        <v>30</v>
      </c>
      <c r="H1995" s="807">
        <f>ROUND(H1994,-2)</f>
        <v>15202800</v>
      </c>
    </row>
    <row r="1996" spans="1:8" ht="15.6">
      <c r="A1996" s="49"/>
      <c r="B1996" s="49"/>
      <c r="C1996" s="49"/>
      <c r="D1996" s="49"/>
      <c r="E1996" s="49"/>
      <c r="F1996" s="49"/>
      <c r="G1996" s="49"/>
      <c r="H1996" s="50"/>
    </row>
    <row r="1997" spans="1:8" ht="18">
      <c r="A1997" s="768" t="s">
        <v>1150</v>
      </c>
      <c r="B1997" s="49"/>
      <c r="C1997" s="49"/>
      <c r="D1997" s="49"/>
      <c r="E1997" s="49"/>
      <c r="F1997" s="49"/>
      <c r="G1997" s="49"/>
      <c r="H1997" s="50"/>
    </row>
    <row r="1998" spans="1:8" ht="17.399999999999999">
      <c r="A1998" s="49"/>
      <c r="B1998" s="965" t="s">
        <v>1749</v>
      </c>
      <c r="C1998" s="49"/>
      <c r="D1998" s="49"/>
      <c r="E1998" s="49"/>
      <c r="F1998" s="49"/>
      <c r="G1998" s="49"/>
      <c r="H1998" s="50"/>
    </row>
    <row r="1999" spans="1:8" ht="15.6">
      <c r="A1999" s="49"/>
      <c r="B1999" s="49"/>
      <c r="C1999" s="49"/>
      <c r="D1999" s="49"/>
      <c r="E1999" s="49"/>
      <c r="F1999" s="49"/>
      <c r="G1999" s="49"/>
      <c r="H1999" s="50"/>
    </row>
    <row r="2000" spans="1:8" ht="15.6">
      <c r="A2000" s="51"/>
      <c r="B2000" s="51"/>
      <c r="C2000" s="51"/>
      <c r="D2000" s="51"/>
      <c r="E2000" s="51"/>
      <c r="F2000" s="51"/>
      <c r="G2000" s="1509" t="s">
        <v>1677</v>
      </c>
      <c r="H2000" s="1509"/>
    </row>
    <row r="2001" spans="1:8" ht="15.6">
      <c r="A2001" s="1509" t="s">
        <v>31</v>
      </c>
      <c r="B2001" s="1509"/>
      <c r="C2001" s="1509" t="s">
        <v>32</v>
      </c>
      <c r="D2001" s="1509"/>
      <c r="E2001" s="1509"/>
      <c r="F2001" s="51"/>
      <c r="G2001" s="1509" t="s">
        <v>33</v>
      </c>
      <c r="H2001" s="1509"/>
    </row>
    <row r="2002" spans="1:8" ht="15.6">
      <c r="A2002" s="51"/>
      <c r="B2002" s="51"/>
      <c r="C2002" s="51"/>
      <c r="D2002" s="51"/>
      <c r="E2002" s="51"/>
      <c r="F2002" s="51"/>
      <c r="G2002" s="51"/>
      <c r="H2002" s="51"/>
    </row>
    <row r="2003" spans="1:8" ht="15.6">
      <c r="A2003" s="51"/>
      <c r="B2003" s="51"/>
      <c r="C2003" s="51"/>
      <c r="D2003" s="51"/>
      <c r="E2003" s="51"/>
      <c r="F2003" s="51"/>
      <c r="G2003" s="51"/>
      <c r="H2003" s="51"/>
    </row>
    <row r="2004" spans="1:8" ht="15.6">
      <c r="A2004" s="51"/>
      <c r="B2004" s="51"/>
      <c r="C2004" s="51"/>
      <c r="D2004" s="51"/>
      <c r="E2004" s="51"/>
      <c r="F2004" s="51"/>
      <c r="G2004" s="51"/>
      <c r="H2004" s="51"/>
    </row>
    <row r="2005" spans="1:8" ht="15.6">
      <c r="A2005" s="1512" t="s">
        <v>1622</v>
      </c>
      <c r="B2005" s="1512"/>
      <c r="C2005" s="1512" t="s">
        <v>1603</v>
      </c>
      <c r="D2005" s="1512"/>
      <c r="E2005" s="1512"/>
      <c r="F2005" s="51"/>
      <c r="G2005" s="1512" t="s">
        <v>1661</v>
      </c>
      <c r="H2005" s="1512"/>
    </row>
    <row r="2006" spans="1:8" ht="15.6">
      <c r="A2006" s="1509" t="s">
        <v>37</v>
      </c>
      <c r="B2006" s="1509"/>
      <c r="C2006" s="1509" t="s">
        <v>1604</v>
      </c>
      <c r="D2006" s="1509"/>
      <c r="E2006" s="1509"/>
      <c r="F2006" s="51"/>
      <c r="G2006" s="1509" t="s">
        <v>39</v>
      </c>
      <c r="H2006" s="1509"/>
    </row>
    <row r="2007" spans="1:8" ht="15.6">
      <c r="A2007" s="602"/>
      <c r="B2007" s="602"/>
      <c r="C2007" s="602"/>
      <c r="D2007" s="602"/>
      <c r="E2007" s="602"/>
      <c r="F2007" s="51"/>
      <c r="G2007" s="602"/>
      <c r="H2007" s="602"/>
    </row>
    <row r="2010" spans="1:8" ht="28.8">
      <c r="A2010" s="597"/>
      <c r="B2010" s="597"/>
      <c r="C2010" s="1513" t="s">
        <v>1077</v>
      </c>
      <c r="D2010" s="1513"/>
      <c r="E2010" s="1513"/>
      <c r="F2010" s="1513"/>
      <c r="G2010" s="1513"/>
      <c r="H2010" s="1513"/>
    </row>
    <row r="2011" spans="1:8" ht="28.8">
      <c r="A2011" s="597"/>
      <c r="B2011" s="597"/>
      <c r="C2011" s="1541" t="s">
        <v>1662</v>
      </c>
      <c r="D2011" s="1541"/>
      <c r="E2011" s="1541"/>
      <c r="F2011" s="1541"/>
      <c r="G2011" s="1541"/>
      <c r="H2011" s="1541"/>
    </row>
    <row r="2012" spans="1:8" ht="23.4">
      <c r="A2012" s="830"/>
      <c r="B2012" s="830"/>
      <c r="C2012" s="1541" t="s">
        <v>1663</v>
      </c>
      <c r="D2012" s="1541"/>
      <c r="E2012" s="1541"/>
      <c r="F2012" s="1541"/>
      <c r="G2012" s="1541"/>
      <c r="H2012" s="1541"/>
    </row>
    <row r="2013" spans="1:8" ht="15.6">
      <c r="A2013" s="769"/>
      <c r="B2013" s="769"/>
      <c r="C2013" s="769"/>
      <c r="D2013" s="769"/>
      <c r="E2013" s="769"/>
      <c r="F2013" s="769"/>
      <c r="G2013" s="769"/>
      <c r="H2013" s="769"/>
    </row>
    <row r="2014" spans="1:8" ht="15.6">
      <c r="A2014" s="769"/>
      <c r="B2014" s="769"/>
      <c r="C2014" s="769"/>
      <c r="D2014" s="769"/>
      <c r="E2014" s="769"/>
      <c r="F2014" s="769"/>
      <c r="G2014" s="769"/>
      <c r="H2014" s="769"/>
    </row>
    <row r="2015" spans="1:8" ht="18">
      <c r="A2015" s="1531" t="s">
        <v>3</v>
      </c>
      <c r="B2015" s="1531" t="s">
        <v>4</v>
      </c>
      <c r="C2015" s="1531" t="s">
        <v>5</v>
      </c>
      <c r="D2015" s="1531" t="s">
        <v>6</v>
      </c>
      <c r="E2015" s="1531" t="s">
        <v>7</v>
      </c>
      <c r="F2015" s="1001" t="s">
        <v>8</v>
      </c>
      <c r="G2015" s="1001" t="s">
        <v>9</v>
      </c>
      <c r="H2015" s="1001" t="s">
        <v>10</v>
      </c>
    </row>
    <row r="2016" spans="1:8" ht="18">
      <c r="A2016" s="1532"/>
      <c r="B2016" s="1532"/>
      <c r="C2016" s="1532"/>
      <c r="D2016" s="1532"/>
      <c r="E2016" s="1532"/>
      <c r="F2016" s="1002" t="s">
        <v>11</v>
      </c>
      <c r="G2016" s="1002" t="s">
        <v>11</v>
      </c>
      <c r="H2016" s="1002" t="s">
        <v>11</v>
      </c>
    </row>
    <row r="2017" spans="1:8" ht="18">
      <c r="A2017" s="1001"/>
      <c r="B2017" s="1003"/>
      <c r="C2017" s="1004"/>
      <c r="D2017" s="1005"/>
      <c r="E2017" s="1005"/>
      <c r="F2017" s="1005"/>
      <c r="G2017" s="1006"/>
      <c r="H2017" s="1057"/>
    </row>
    <row r="2018" spans="1:8" ht="18">
      <c r="A2018" s="1008" t="s">
        <v>12</v>
      </c>
      <c r="B2018" s="1021" t="s">
        <v>13</v>
      </c>
      <c r="C2018" s="1010"/>
      <c r="D2018" s="1011"/>
      <c r="E2018" s="1011"/>
      <c r="F2018" s="1012"/>
      <c r="G2018" s="1012"/>
      <c r="H2018" s="1058"/>
    </row>
    <row r="2019" spans="1:8" ht="18">
      <c r="A2019" s="1008"/>
      <c r="B2019" s="1009" t="s">
        <v>1682</v>
      </c>
      <c r="C2019" s="1059">
        <v>4</v>
      </c>
      <c r="D2019" s="1011" t="s">
        <v>44</v>
      </c>
      <c r="E2019" s="1011" t="s">
        <v>82</v>
      </c>
      <c r="F2019" s="1012">
        <v>254100</v>
      </c>
      <c r="G2019" s="1060">
        <f>F2019*C2019</f>
        <v>1016400</v>
      </c>
      <c r="H2019" s="1058"/>
    </row>
    <row r="2020" spans="1:8" ht="18">
      <c r="A2020" s="1008"/>
      <c r="B2020" s="1009" t="s">
        <v>1683</v>
      </c>
      <c r="C2020" s="1059">
        <v>2</v>
      </c>
      <c r="D2020" s="1011" t="s">
        <v>44</v>
      </c>
      <c r="E2020" s="1011" t="s">
        <v>82</v>
      </c>
      <c r="F2020" s="1012">
        <v>130700</v>
      </c>
      <c r="G2020" s="1060">
        <f>F2020*C2020</f>
        <v>261400</v>
      </c>
      <c r="H2020" s="1058"/>
    </row>
    <row r="2021" spans="1:8" ht="18">
      <c r="A2021" s="1008"/>
      <c r="B2021" s="1009" t="s">
        <v>1664</v>
      </c>
      <c r="C2021" s="1059">
        <v>1</v>
      </c>
      <c r="D2021" s="1011" t="s">
        <v>44</v>
      </c>
      <c r="E2021" s="1011" t="s">
        <v>82</v>
      </c>
      <c r="F2021" s="1012">
        <v>175000</v>
      </c>
      <c r="G2021" s="1060">
        <f>F2021*C2021</f>
        <v>175000</v>
      </c>
      <c r="H2021" s="1058"/>
    </row>
    <row r="2022" spans="1:8" ht="18">
      <c r="A2022" s="1008"/>
      <c r="B2022" s="1009" t="s">
        <v>1043</v>
      </c>
      <c r="C2022" s="1059">
        <v>2</v>
      </c>
      <c r="D2022" s="1011" t="s">
        <v>1665</v>
      </c>
      <c r="E2022" s="1011" t="s">
        <v>82</v>
      </c>
      <c r="F2022" s="1012">
        <v>132000</v>
      </c>
      <c r="G2022" s="1060">
        <f>F2022*C2022</f>
        <v>264000</v>
      </c>
      <c r="H2022" s="1058"/>
    </row>
    <row r="2023" spans="1:8" ht="18">
      <c r="A2023" s="1008"/>
      <c r="B2023" s="1009" t="s">
        <v>1713</v>
      </c>
      <c r="C2023" s="1059">
        <v>3</v>
      </c>
      <c r="D2023" s="1011" t="s">
        <v>1665</v>
      </c>
      <c r="E2023" s="1011" t="s">
        <v>16</v>
      </c>
      <c r="F2023" s="1012">
        <v>600000</v>
      </c>
      <c r="G2023" s="1060">
        <f>F2023*C2023</f>
        <v>1800000</v>
      </c>
      <c r="H2023" s="1058"/>
    </row>
    <row r="2024" spans="1:8" ht="18">
      <c r="A2024" s="1008"/>
      <c r="B2024" s="1021"/>
      <c r="C2024" s="1059"/>
      <c r="D2024" s="1011"/>
      <c r="E2024" s="1011"/>
      <c r="F2024" s="1012"/>
      <c r="G2024" s="1012"/>
      <c r="H2024" s="1058"/>
    </row>
    <row r="2025" spans="1:8" ht="18">
      <c r="A2025" s="1008"/>
      <c r="B2025" s="1021"/>
      <c r="C2025" s="1059"/>
      <c r="D2025" s="1011"/>
      <c r="E2025" s="1011"/>
      <c r="F2025" s="1012"/>
      <c r="G2025" s="1012"/>
      <c r="H2025" s="1061">
        <f>SUM(G2019:G2024)</f>
        <v>3516800</v>
      </c>
    </row>
    <row r="2026" spans="1:8" ht="18">
      <c r="A2026" s="1008" t="s">
        <v>18</v>
      </c>
      <c r="B2026" s="1021" t="s">
        <v>19</v>
      </c>
      <c r="C2026" s="1059"/>
      <c r="D2026" s="1011"/>
      <c r="E2026" s="1011"/>
      <c r="F2026" s="1012"/>
      <c r="G2026" s="1012"/>
      <c r="H2026" s="1058"/>
    </row>
    <row r="2027" spans="1:8" ht="18">
      <c r="A2027" s="1008"/>
      <c r="B2027" s="1009" t="s">
        <v>1714</v>
      </c>
      <c r="C2027" s="1064" t="s">
        <v>1743</v>
      </c>
      <c r="D2027" s="1011" t="s">
        <v>245</v>
      </c>
      <c r="E2027" s="1011" t="s">
        <v>82</v>
      </c>
      <c r="F2027" s="1012">
        <v>214375</v>
      </c>
      <c r="G2027" s="1060">
        <v>807765</v>
      </c>
      <c r="H2027" s="1058"/>
    </row>
    <row r="2028" spans="1:8" ht="18">
      <c r="A2028" s="1008"/>
      <c r="B2028" s="1009" t="s">
        <v>1715</v>
      </c>
      <c r="C2028" s="1064" t="s">
        <v>1744</v>
      </c>
      <c r="D2028" s="1011" t="s">
        <v>245</v>
      </c>
      <c r="E2028" s="1011" t="s">
        <v>82</v>
      </c>
      <c r="F2028" s="1012">
        <v>214375</v>
      </c>
      <c r="G2028" s="1060">
        <v>908735</v>
      </c>
      <c r="H2028" s="1058"/>
    </row>
    <row r="2029" spans="1:8" ht="18">
      <c r="A2029" s="1008"/>
      <c r="B2029" s="1009" t="s">
        <v>1666</v>
      </c>
      <c r="C2029" s="1059">
        <v>3</v>
      </c>
      <c r="D2029" s="1011" t="s">
        <v>44</v>
      </c>
      <c r="E2029" s="1011" t="s">
        <v>82</v>
      </c>
      <c r="F2029" s="1012">
        <v>303760</v>
      </c>
      <c r="G2029" s="1060">
        <f>F2029*C2029</f>
        <v>911280</v>
      </c>
      <c r="H2029" s="1058"/>
    </row>
    <row r="2030" spans="1:8" ht="18">
      <c r="A2030" s="1023"/>
      <c r="B2030" s="1024"/>
      <c r="C2030" s="1022"/>
      <c r="D2030" s="1011"/>
      <c r="E2030" s="1011"/>
      <c r="F2030" s="1022"/>
      <c r="G2030" s="1022"/>
      <c r="H2030" s="1007"/>
    </row>
    <row r="2031" spans="1:8" ht="18">
      <c r="A2031" s="1025"/>
      <c r="B2031" s="1026"/>
      <c r="C2031" s="1027"/>
      <c r="D2031" s="1028"/>
      <c r="E2031" s="1029"/>
      <c r="F2031" s="1029" t="s">
        <v>25</v>
      </c>
      <c r="G2031" s="1030">
        <f>SUM(G2027:G2030)</f>
        <v>2627780</v>
      </c>
      <c r="H2031" s="1018"/>
    </row>
    <row r="2032" spans="1:8" ht="18">
      <c r="A2032" s="1031"/>
      <c r="B2032" s="1032"/>
      <c r="C2032" s="1033"/>
      <c r="D2032" s="1033"/>
      <c r="E2032" s="1034"/>
      <c r="F2032" s="1035" t="s">
        <v>1151</v>
      </c>
      <c r="G2032" s="1036">
        <f>G2031*10%</f>
        <v>262778</v>
      </c>
      <c r="H2032" s="1037"/>
    </row>
    <row r="2033" spans="1:8" ht="18">
      <c r="A2033" s="1038"/>
      <c r="B2033" s="1039"/>
      <c r="C2033" s="1040"/>
      <c r="D2033" s="1040"/>
      <c r="E2033" s="1041"/>
      <c r="F2033" s="1042"/>
      <c r="G2033" s="1043"/>
      <c r="H2033" s="1044">
        <f>G2031+G2032</f>
        <v>2890558</v>
      </c>
    </row>
    <row r="2034" spans="1:8" ht="18">
      <c r="A2034" s="1031"/>
      <c r="B2034" s="1032"/>
      <c r="C2034" s="1033"/>
      <c r="D2034" s="1033"/>
      <c r="E2034" s="1034"/>
      <c r="F2034" s="1035"/>
      <c r="G2034" s="1045"/>
      <c r="H2034" s="1046"/>
    </row>
    <row r="2035" spans="1:8" ht="18">
      <c r="A2035" s="1047"/>
      <c r="B2035" s="1048"/>
      <c r="C2035" s="1048"/>
      <c r="D2035" s="1048"/>
      <c r="E2035" s="1048"/>
      <c r="F2035" s="1049"/>
      <c r="G2035" s="1050" t="s">
        <v>28</v>
      </c>
      <c r="H2035" s="1006">
        <f>H2033+H2025</f>
        <v>6407358</v>
      </c>
    </row>
    <row r="2036" spans="1:8" ht="18">
      <c r="A2036" s="1051"/>
      <c r="B2036" s="1052"/>
      <c r="C2036" s="1053"/>
      <c r="D2036" s="1053"/>
      <c r="E2036" s="1053"/>
      <c r="F2036" s="1054"/>
      <c r="G2036" s="1055" t="s">
        <v>30</v>
      </c>
      <c r="H2036" s="1056">
        <f>ROUND(H2035,-3)</f>
        <v>6407000</v>
      </c>
    </row>
    <row r="2037" spans="1:8" ht="15.6">
      <c r="A2037" s="49"/>
      <c r="B2037" s="49"/>
      <c r="C2037" s="49"/>
      <c r="D2037" s="49"/>
      <c r="E2037" s="49"/>
      <c r="F2037" s="49"/>
      <c r="G2037" s="49"/>
      <c r="H2037" s="50"/>
    </row>
    <row r="2038" spans="1:8" ht="18">
      <c r="A2038" s="768" t="s">
        <v>1150</v>
      </c>
      <c r="B2038" s="49"/>
      <c r="C2038" s="49"/>
      <c r="D2038" s="49"/>
      <c r="E2038" s="49"/>
      <c r="F2038" s="49"/>
      <c r="G2038" s="49"/>
      <c r="H2038" s="50"/>
    </row>
    <row r="2039" spans="1:8" ht="17.399999999999999">
      <c r="A2039" s="49"/>
      <c r="B2039" s="965" t="s">
        <v>1745</v>
      </c>
      <c r="C2039" s="49"/>
      <c r="D2039" s="49"/>
      <c r="E2039" s="49"/>
      <c r="F2039" s="49"/>
      <c r="G2039" s="49"/>
      <c r="H2039" s="50"/>
    </row>
    <row r="2040" spans="1:8" ht="15.6">
      <c r="A2040" s="49"/>
      <c r="B2040" s="49"/>
      <c r="C2040" s="49"/>
      <c r="D2040" s="49"/>
      <c r="E2040" s="49"/>
      <c r="F2040" s="49"/>
      <c r="G2040" s="49"/>
      <c r="H2040" s="50"/>
    </row>
    <row r="2041" spans="1:8" ht="18">
      <c r="A2041" s="958"/>
      <c r="B2041" s="958"/>
      <c r="C2041" s="958"/>
      <c r="D2041" s="958"/>
      <c r="E2041" s="958"/>
      <c r="F2041" s="958"/>
      <c r="G2041" s="1530" t="s">
        <v>1677</v>
      </c>
      <c r="H2041" s="1530"/>
    </row>
    <row r="2042" spans="1:8" ht="18">
      <c r="A2042" s="1530" t="s">
        <v>31</v>
      </c>
      <c r="B2042" s="1530"/>
      <c r="C2042" s="1530" t="s">
        <v>32</v>
      </c>
      <c r="D2042" s="1530"/>
      <c r="E2042" s="1530"/>
      <c r="F2042" s="958"/>
      <c r="G2042" s="1530" t="s">
        <v>33</v>
      </c>
      <c r="H2042" s="1530"/>
    </row>
    <row r="2043" spans="1:8" ht="18">
      <c r="A2043" s="958"/>
      <c r="B2043" s="958"/>
      <c r="C2043" s="958"/>
      <c r="D2043" s="958"/>
      <c r="E2043" s="958"/>
      <c r="F2043" s="958"/>
      <c r="G2043" s="958"/>
      <c r="H2043" s="958"/>
    </row>
    <row r="2044" spans="1:8" ht="18">
      <c r="A2044" s="958"/>
      <c r="B2044" s="958"/>
      <c r="C2044" s="958"/>
      <c r="D2044" s="958"/>
      <c r="E2044" s="958"/>
      <c r="F2044" s="958"/>
      <c r="G2044" s="958"/>
      <c r="H2044" s="958"/>
    </row>
    <row r="2045" spans="1:8" ht="18">
      <c r="A2045" s="958"/>
      <c r="B2045" s="958"/>
      <c r="C2045" s="958"/>
      <c r="D2045" s="958"/>
      <c r="E2045" s="958"/>
      <c r="F2045" s="958"/>
      <c r="G2045" s="958"/>
      <c r="H2045" s="958"/>
    </row>
    <row r="2046" spans="1:8" ht="18">
      <c r="A2046" s="1529" t="s">
        <v>1622</v>
      </c>
      <c r="B2046" s="1529"/>
      <c r="C2046" s="1529" t="s">
        <v>1603</v>
      </c>
      <c r="D2046" s="1529"/>
      <c r="E2046" s="1529"/>
      <c r="F2046" s="958"/>
      <c r="G2046" s="1529" t="s">
        <v>1661</v>
      </c>
      <c r="H2046" s="1529"/>
    </row>
    <row r="2047" spans="1:8" ht="18">
      <c r="A2047" s="1530" t="s">
        <v>37</v>
      </c>
      <c r="B2047" s="1530"/>
      <c r="C2047" s="1530" t="s">
        <v>1604</v>
      </c>
      <c r="D2047" s="1530"/>
      <c r="E2047" s="1530"/>
      <c r="F2047" s="958"/>
      <c r="G2047" s="1530" t="s">
        <v>39</v>
      </c>
      <c r="H2047" s="1530"/>
    </row>
    <row r="2048" spans="1:8" ht="15.6">
      <c r="A2048" s="602"/>
      <c r="B2048" s="602"/>
      <c r="C2048" s="602"/>
      <c r="D2048" s="602"/>
      <c r="E2048" s="602"/>
      <c r="F2048" s="51"/>
      <c r="G2048" s="602"/>
      <c r="H2048" s="602"/>
    </row>
    <row r="2052" spans="1:8" ht="28.8">
      <c r="A2052" s="597"/>
      <c r="B2052" s="597"/>
      <c r="C2052" s="1513" t="s">
        <v>235</v>
      </c>
      <c r="D2052" s="1513"/>
      <c r="E2052" s="1513"/>
      <c r="F2052" s="1513"/>
      <c r="G2052" s="1513"/>
      <c r="H2052" s="1513"/>
    </row>
    <row r="2053" spans="1:8" ht="28.8">
      <c r="A2053" s="597"/>
      <c r="B2053" s="597"/>
      <c r="C2053" s="1541" t="s">
        <v>1651</v>
      </c>
      <c r="D2053" s="1541"/>
      <c r="E2053" s="1541"/>
      <c r="F2053" s="1541"/>
      <c r="G2053" s="1541"/>
      <c r="H2053" s="1541"/>
    </row>
    <row r="2054" spans="1:8" ht="23.4">
      <c r="A2054" s="830"/>
      <c r="B2054" s="830"/>
      <c r="C2054" s="1541" t="s">
        <v>1762</v>
      </c>
      <c r="D2054" s="1541"/>
      <c r="E2054" s="1541"/>
      <c r="F2054" s="1541"/>
      <c r="G2054" s="1541"/>
      <c r="H2054" s="1541"/>
    </row>
    <row r="2055" spans="1:8" ht="15.6">
      <c r="A2055" s="769"/>
      <c r="B2055" s="769"/>
      <c r="C2055" s="769"/>
      <c r="D2055" s="769"/>
      <c r="E2055" s="769"/>
      <c r="F2055" s="769"/>
      <c r="G2055" s="769"/>
      <c r="H2055" s="769"/>
    </row>
    <row r="2056" spans="1:8" ht="15.6">
      <c r="A2056" s="769"/>
      <c r="B2056" s="769"/>
      <c r="C2056" s="769"/>
      <c r="D2056" s="769"/>
      <c r="E2056" s="769"/>
      <c r="F2056" s="769"/>
      <c r="G2056" s="769"/>
      <c r="H2056" s="769"/>
    </row>
    <row r="2057" spans="1:8" ht="15.6">
      <c r="A2057" s="1516" t="s">
        <v>3</v>
      </c>
      <c r="B2057" s="1516" t="s">
        <v>4</v>
      </c>
      <c r="C2057" s="1516" t="s">
        <v>5</v>
      </c>
      <c r="D2057" s="1516" t="s">
        <v>6</v>
      </c>
      <c r="E2057" s="1516" t="s">
        <v>7</v>
      </c>
      <c r="F2057" s="770" t="s">
        <v>8</v>
      </c>
      <c r="G2057" s="770" t="s">
        <v>9</v>
      </c>
      <c r="H2057" s="770" t="s">
        <v>10</v>
      </c>
    </row>
    <row r="2058" spans="1:8" ht="15.6">
      <c r="A2058" s="1517"/>
      <c r="B2058" s="1517"/>
      <c r="C2058" s="1517"/>
      <c r="D2058" s="1517"/>
      <c r="E2058" s="1517"/>
      <c r="F2058" s="771" t="s">
        <v>11</v>
      </c>
      <c r="G2058" s="771" t="s">
        <v>11</v>
      </c>
      <c r="H2058" s="771" t="s">
        <v>11</v>
      </c>
    </row>
    <row r="2059" spans="1:8" ht="15.6">
      <c r="A2059" s="770"/>
      <c r="B2059" s="772"/>
      <c r="C2059" s="773"/>
      <c r="D2059" s="774"/>
      <c r="E2059" s="774"/>
      <c r="F2059" s="774"/>
      <c r="G2059" s="775"/>
      <c r="H2059" s="776"/>
    </row>
    <row r="2060" spans="1:8" ht="15.6">
      <c r="A2060" s="786" t="s">
        <v>12</v>
      </c>
      <c r="B2060" s="778" t="s">
        <v>13</v>
      </c>
      <c r="C2060" s="779"/>
      <c r="D2060" s="780"/>
      <c r="E2060" s="780"/>
      <c r="F2060" s="791"/>
      <c r="G2060" s="791"/>
      <c r="H2060" s="971"/>
    </row>
    <row r="2061" spans="1:8" ht="15.6">
      <c r="A2061" s="786"/>
      <c r="B2061" s="969" t="s">
        <v>1652</v>
      </c>
      <c r="C2061" s="779">
        <v>3</v>
      </c>
      <c r="D2061" s="780" t="s">
        <v>44</v>
      </c>
      <c r="E2061" s="780" t="s">
        <v>366</v>
      </c>
      <c r="F2061" s="780" t="s">
        <v>126</v>
      </c>
      <c r="G2061" s="986" t="s">
        <v>126</v>
      </c>
      <c r="H2061" s="971"/>
    </row>
    <row r="2062" spans="1:8" ht="15.6">
      <c r="A2062" s="786"/>
      <c r="B2062" s="969" t="s">
        <v>1653</v>
      </c>
      <c r="C2062" s="779">
        <v>3</v>
      </c>
      <c r="D2062" s="780" t="s">
        <v>44</v>
      </c>
      <c r="E2062" s="780" t="s">
        <v>366</v>
      </c>
      <c r="F2062" s="791" t="s">
        <v>126</v>
      </c>
      <c r="G2062" s="791" t="s">
        <v>126</v>
      </c>
      <c r="H2062" s="971"/>
    </row>
    <row r="2063" spans="1:8" ht="15.6">
      <c r="A2063" s="786"/>
      <c r="B2063" s="969" t="s">
        <v>1792</v>
      </c>
      <c r="C2063" s="779">
        <v>150</v>
      </c>
      <c r="D2063" s="780" t="s">
        <v>245</v>
      </c>
      <c r="E2063" s="780" t="s">
        <v>16</v>
      </c>
      <c r="F2063" s="998">
        <v>29500</v>
      </c>
      <c r="G2063" s="999">
        <f t="shared" ref="G2063:G2068" si="10">F2063*C2063</f>
        <v>4425000</v>
      </c>
      <c r="H2063" s="971"/>
    </row>
    <row r="2064" spans="1:8" ht="15.6">
      <c r="A2064" s="786"/>
      <c r="B2064" s="969" t="s">
        <v>1793</v>
      </c>
      <c r="C2064" s="779">
        <v>9</v>
      </c>
      <c r="D2064" s="780" t="s">
        <v>44</v>
      </c>
      <c r="E2064" s="780" t="s">
        <v>16</v>
      </c>
      <c r="F2064" s="791">
        <v>125000</v>
      </c>
      <c r="G2064" s="999">
        <f t="shared" si="10"/>
        <v>1125000</v>
      </c>
      <c r="H2064" s="971"/>
    </row>
    <row r="2065" spans="1:8" ht="15.6">
      <c r="A2065" s="786"/>
      <c r="B2065" s="969" t="s">
        <v>1794</v>
      </c>
      <c r="C2065" s="779">
        <v>3</v>
      </c>
      <c r="D2065" s="780" t="s">
        <v>44</v>
      </c>
      <c r="E2065" s="780" t="s">
        <v>16</v>
      </c>
      <c r="F2065" s="791">
        <v>450000</v>
      </c>
      <c r="G2065" s="999">
        <f t="shared" si="10"/>
        <v>1350000</v>
      </c>
      <c r="H2065" s="971"/>
    </row>
    <row r="2066" spans="1:8" ht="15.6">
      <c r="A2066" s="786"/>
      <c r="B2066" s="969" t="s">
        <v>1795</v>
      </c>
      <c r="C2066" s="779">
        <v>3</v>
      </c>
      <c r="D2066" s="780" t="s">
        <v>44</v>
      </c>
      <c r="E2066" s="780" t="s">
        <v>16</v>
      </c>
      <c r="F2066" s="791">
        <v>550000</v>
      </c>
      <c r="G2066" s="999">
        <f t="shared" si="10"/>
        <v>1650000</v>
      </c>
      <c r="H2066" s="971"/>
    </row>
    <row r="2067" spans="1:8" ht="15.6">
      <c r="A2067" s="786"/>
      <c r="B2067" s="969" t="s">
        <v>1796</v>
      </c>
      <c r="C2067" s="779">
        <v>36</v>
      </c>
      <c r="D2067" s="780" t="s">
        <v>44</v>
      </c>
      <c r="E2067" s="780" t="s">
        <v>16</v>
      </c>
      <c r="F2067" s="1074">
        <v>105000</v>
      </c>
      <c r="G2067" s="999">
        <f t="shared" si="10"/>
        <v>3780000</v>
      </c>
      <c r="H2067" s="970"/>
    </row>
    <row r="2068" spans="1:8" ht="16.2" thickBot="1">
      <c r="A2068" s="786"/>
      <c r="B2068" s="969" t="s">
        <v>1797</v>
      </c>
      <c r="C2068" s="779">
        <v>3</v>
      </c>
      <c r="D2068" s="780" t="s">
        <v>44</v>
      </c>
      <c r="E2068" s="780" t="s">
        <v>16</v>
      </c>
      <c r="F2068" s="1075">
        <v>225000</v>
      </c>
      <c r="G2068" s="999">
        <f t="shared" si="10"/>
        <v>675000</v>
      </c>
      <c r="H2068" s="970"/>
    </row>
    <row r="2069" spans="1:8" ht="19.2" thickTop="1" thickBot="1">
      <c r="A2069" s="786"/>
      <c r="B2069" s="969"/>
      <c r="C2069" s="779"/>
      <c r="D2069" s="780"/>
      <c r="E2069" s="780"/>
      <c r="F2069" s="1570" t="s">
        <v>1798</v>
      </c>
      <c r="G2069" s="1571"/>
      <c r="H2069" s="1066">
        <f>SUM(G2063:G2068)</f>
        <v>13005000</v>
      </c>
    </row>
    <row r="2070" spans="1:8" ht="16.2" thickTop="1">
      <c r="A2070" s="786" t="s">
        <v>18</v>
      </c>
      <c r="B2070" s="778" t="s">
        <v>19</v>
      </c>
      <c r="C2070" s="779"/>
      <c r="D2070" s="780"/>
      <c r="E2070" s="780"/>
      <c r="F2070" s="791"/>
      <c r="G2070" s="791"/>
      <c r="H2070" s="971"/>
    </row>
    <row r="2071" spans="1:8" ht="15.6">
      <c r="A2071" s="786"/>
      <c r="B2071" s="969" t="s">
        <v>1799</v>
      </c>
      <c r="C2071" s="779">
        <v>3</v>
      </c>
      <c r="D2071" s="780" t="s">
        <v>400</v>
      </c>
      <c r="E2071" s="780" t="s">
        <v>16</v>
      </c>
      <c r="F2071" s="791">
        <v>3000000</v>
      </c>
      <c r="G2071" s="999">
        <f>F2071*C2071</f>
        <v>9000000</v>
      </c>
      <c r="H2071" s="971"/>
    </row>
    <row r="2072" spans="1:8" ht="15.6">
      <c r="A2072" s="786"/>
      <c r="B2072" s="969" t="s">
        <v>1754</v>
      </c>
      <c r="C2072" s="779">
        <v>3</v>
      </c>
      <c r="D2072" s="780" t="s">
        <v>1755</v>
      </c>
      <c r="E2072" s="780" t="s">
        <v>16</v>
      </c>
      <c r="F2072" s="791">
        <v>1250000</v>
      </c>
      <c r="G2072" s="999">
        <f>F2072*C2072</f>
        <v>3750000</v>
      </c>
      <c r="H2072" s="971"/>
    </row>
    <row r="2073" spans="1:8" ht="15.6">
      <c r="A2073" s="793"/>
      <c r="B2073" s="783"/>
      <c r="C2073" s="794"/>
      <c r="D2073" s="795"/>
      <c r="E2073" s="811"/>
      <c r="F2073" s="811" t="s">
        <v>25</v>
      </c>
      <c r="G2073" s="813">
        <f>SUM(G2071:G2072)</f>
        <v>12750000</v>
      </c>
      <c r="H2073" s="810"/>
    </row>
    <row r="2074" spans="1:8" ht="16.2" thickBot="1">
      <c r="A2074" s="796"/>
      <c r="B2074" s="797"/>
      <c r="C2074" s="784"/>
      <c r="D2074" s="784"/>
      <c r="E2074" s="785"/>
      <c r="F2074" s="812" t="s">
        <v>1151</v>
      </c>
      <c r="G2074" s="1065">
        <f>G2073*10%</f>
        <v>1275000</v>
      </c>
      <c r="H2074" s="825"/>
    </row>
    <row r="2075" spans="1:8" ht="19.2" thickTop="1" thickBot="1">
      <c r="A2075" s="820"/>
      <c r="B2075" s="821"/>
      <c r="C2075" s="822"/>
      <c r="D2075" s="822"/>
      <c r="E2075" s="1572" t="s">
        <v>1757</v>
      </c>
      <c r="F2075" s="1572"/>
      <c r="G2075" s="1573"/>
      <c r="H2075" s="1067">
        <f>G2073+G2074</f>
        <v>14025000</v>
      </c>
    </row>
    <row r="2076" spans="1:8" ht="16.2" thickTop="1">
      <c r="A2076" s="796"/>
      <c r="B2076" s="797"/>
      <c r="C2076" s="784"/>
      <c r="D2076" s="784"/>
      <c r="E2076" s="785"/>
      <c r="F2076" s="812"/>
      <c r="G2076" s="798"/>
      <c r="H2076" s="826"/>
    </row>
    <row r="2077" spans="1:8" ht="15.6">
      <c r="A2077" s="820"/>
      <c r="B2077" s="821"/>
      <c r="C2077" s="822"/>
      <c r="D2077" s="822"/>
      <c r="E2077" s="823"/>
      <c r="F2077" s="819"/>
      <c r="G2077" s="824"/>
      <c r="H2077" s="827"/>
    </row>
    <row r="2078" spans="1:8" ht="18">
      <c r="A2078" s="799"/>
      <c r="B2078" s="800"/>
      <c r="C2078" s="800"/>
      <c r="D2078" s="800"/>
      <c r="E2078" s="800"/>
      <c r="F2078" s="801"/>
      <c r="G2078" s="1050" t="s">
        <v>1758</v>
      </c>
      <c r="H2078" s="775">
        <f>H2069+H2075</f>
        <v>27030000</v>
      </c>
    </row>
    <row r="2079" spans="1:8" ht="18">
      <c r="A2079" s="802"/>
      <c r="B2079" s="803"/>
      <c r="C2079" s="804"/>
      <c r="D2079" s="804"/>
      <c r="E2079" s="804"/>
      <c r="F2079" s="805"/>
      <c r="G2079" s="1055" t="s">
        <v>30</v>
      </c>
      <c r="H2079" s="807">
        <f>ROUND(H2078,-3)</f>
        <v>27030000</v>
      </c>
    </row>
    <row r="2080" spans="1:8" ht="15.6">
      <c r="A2080" s="49"/>
      <c r="B2080" s="49"/>
      <c r="C2080" s="49"/>
      <c r="D2080" s="49"/>
      <c r="E2080" s="49"/>
      <c r="F2080" s="49"/>
      <c r="G2080" s="49"/>
      <c r="H2080" s="50"/>
    </row>
    <row r="2081" spans="1:8" ht="18">
      <c r="A2081" s="768" t="s">
        <v>1150</v>
      </c>
      <c r="B2081" s="49"/>
      <c r="C2081" s="49"/>
      <c r="D2081" s="49"/>
      <c r="E2081" s="49"/>
      <c r="F2081" s="49"/>
      <c r="G2081" s="49"/>
      <c r="H2081" s="50"/>
    </row>
    <row r="2082" spans="1:8" ht="17.399999999999999">
      <c r="A2082" s="49"/>
      <c r="B2082" s="965" t="s">
        <v>1800</v>
      </c>
      <c r="C2082" s="49"/>
      <c r="D2082" s="49"/>
      <c r="E2082" s="49"/>
      <c r="F2082" s="49"/>
      <c r="G2082" s="49"/>
      <c r="H2082" s="50"/>
    </row>
    <row r="2083" spans="1:8" ht="15.6">
      <c r="A2083" s="49"/>
      <c r="B2083" s="49"/>
      <c r="C2083" s="49"/>
      <c r="D2083" s="49"/>
      <c r="E2083" s="49"/>
      <c r="F2083" s="49"/>
      <c r="G2083" s="49"/>
      <c r="H2083" s="50"/>
    </row>
    <row r="2084" spans="1:8" ht="15.6">
      <c r="A2084" s="51"/>
      <c r="B2084" s="51"/>
      <c r="C2084" s="51"/>
      <c r="D2084" s="51"/>
      <c r="E2084" s="51"/>
      <c r="F2084" s="51"/>
      <c r="G2084" s="1509" t="s">
        <v>1790</v>
      </c>
      <c r="H2084" s="1509"/>
    </row>
    <row r="2085" spans="1:8" ht="15.6">
      <c r="A2085" s="1509" t="s">
        <v>31</v>
      </c>
      <c r="B2085" s="1509"/>
      <c r="C2085" s="1509" t="s">
        <v>32</v>
      </c>
      <c r="D2085" s="1509"/>
      <c r="E2085" s="1509"/>
      <c r="F2085" s="51"/>
      <c r="G2085" s="1509" t="s">
        <v>33</v>
      </c>
      <c r="H2085" s="1509"/>
    </row>
    <row r="2086" spans="1:8" ht="15.6">
      <c r="A2086" s="51"/>
      <c r="B2086" s="51"/>
      <c r="C2086" s="51"/>
      <c r="D2086" s="51"/>
      <c r="E2086" s="51"/>
      <c r="F2086" s="51"/>
      <c r="G2086" s="51"/>
      <c r="H2086" s="51"/>
    </row>
    <row r="2087" spans="1:8" ht="15.6">
      <c r="A2087" s="51"/>
      <c r="B2087" s="51"/>
      <c r="C2087" s="51"/>
      <c r="D2087" s="51"/>
      <c r="E2087" s="51"/>
      <c r="F2087" s="51"/>
      <c r="G2087" s="51"/>
      <c r="H2087" s="51"/>
    </row>
    <row r="2088" spans="1:8" ht="15.6">
      <c r="A2088" s="51"/>
      <c r="B2088" s="51"/>
      <c r="C2088" s="51"/>
      <c r="D2088" s="51"/>
      <c r="E2088" s="51"/>
      <c r="F2088" s="51"/>
      <c r="G2088" s="51"/>
      <c r="H2088" s="51"/>
    </row>
    <row r="2089" spans="1:8" ht="15.6">
      <c r="A2089" s="1512" t="s">
        <v>1622</v>
      </c>
      <c r="B2089" s="1512"/>
      <c r="C2089" s="1512" t="s">
        <v>1603</v>
      </c>
      <c r="D2089" s="1512"/>
      <c r="E2089" s="1512"/>
      <c r="F2089" s="51"/>
      <c r="G2089" s="1512" t="s">
        <v>1661</v>
      </c>
      <c r="H2089" s="1512"/>
    </row>
    <row r="2090" spans="1:8" ht="15.6">
      <c r="A2090" s="1509" t="s">
        <v>37</v>
      </c>
      <c r="B2090" s="1509"/>
      <c r="C2090" s="1509" t="s">
        <v>1604</v>
      </c>
      <c r="D2090" s="1509"/>
      <c r="E2090" s="1509"/>
      <c r="F2090" s="51"/>
      <c r="G2090" s="1509" t="s">
        <v>39</v>
      </c>
      <c r="H2090" s="1509"/>
    </row>
    <row r="2091" spans="1:8" ht="15.6">
      <c r="A2091" s="602"/>
      <c r="B2091" s="602"/>
      <c r="C2091" s="602"/>
      <c r="D2091" s="602"/>
      <c r="E2091" s="602"/>
      <c r="F2091" s="51"/>
      <c r="G2091" s="602"/>
      <c r="H2091" s="602"/>
    </row>
    <row r="2093" spans="1:8" ht="28.8">
      <c r="A2093" s="597"/>
      <c r="B2093" s="597"/>
      <c r="C2093" s="1513" t="s">
        <v>235</v>
      </c>
      <c r="D2093" s="1513"/>
      <c r="E2093" s="1513"/>
      <c r="F2093" s="1513"/>
      <c r="G2093" s="1513"/>
      <c r="H2093" s="1513"/>
    </row>
    <row r="2094" spans="1:8" ht="28.8">
      <c r="A2094" s="597"/>
      <c r="B2094" s="597"/>
      <c r="C2094" s="1541" t="s">
        <v>1638</v>
      </c>
      <c r="D2094" s="1541"/>
      <c r="E2094" s="1541"/>
      <c r="F2094" s="1541"/>
      <c r="G2094" s="1541"/>
      <c r="H2094" s="1541"/>
    </row>
    <row r="2095" spans="1:8" ht="23.4">
      <c r="A2095" s="830"/>
      <c r="B2095" s="830"/>
      <c r="C2095" s="1537" t="s">
        <v>466</v>
      </c>
      <c r="D2095" s="1537"/>
      <c r="E2095" s="1537"/>
      <c r="F2095" s="1537"/>
      <c r="G2095" s="1537"/>
      <c r="H2095" s="1537"/>
    </row>
    <row r="2096" spans="1:8" ht="15.6">
      <c r="A2096" s="769"/>
      <c r="B2096" s="769"/>
      <c r="C2096" s="769"/>
      <c r="D2096" s="769"/>
      <c r="E2096" s="769"/>
      <c r="F2096" s="769"/>
      <c r="G2096" s="769"/>
      <c r="H2096" s="769"/>
    </row>
    <row r="2097" spans="1:8" ht="15.6">
      <c r="A2097" s="769"/>
      <c r="B2097" s="769"/>
      <c r="C2097" s="769"/>
      <c r="D2097" s="769"/>
      <c r="E2097" s="769"/>
      <c r="F2097" s="769"/>
      <c r="G2097" s="769"/>
      <c r="H2097" s="769"/>
    </row>
    <row r="2098" spans="1:8" ht="15.6">
      <c r="A2098" s="1516" t="s">
        <v>3</v>
      </c>
      <c r="B2098" s="1516" t="s">
        <v>4</v>
      </c>
      <c r="C2098" s="1516" t="s">
        <v>5</v>
      </c>
      <c r="D2098" s="1516" t="s">
        <v>6</v>
      </c>
      <c r="E2098" s="1516" t="s">
        <v>7</v>
      </c>
      <c r="F2098" s="770" t="s">
        <v>8</v>
      </c>
      <c r="G2098" s="770" t="s">
        <v>9</v>
      </c>
      <c r="H2098" s="770" t="s">
        <v>10</v>
      </c>
    </row>
    <row r="2099" spans="1:8" ht="15.6">
      <c r="A2099" s="1517"/>
      <c r="B2099" s="1517"/>
      <c r="C2099" s="1517"/>
      <c r="D2099" s="1517"/>
      <c r="E2099" s="1517"/>
      <c r="F2099" s="771" t="s">
        <v>11</v>
      </c>
      <c r="G2099" s="771" t="s">
        <v>11</v>
      </c>
      <c r="H2099" s="771" t="s">
        <v>11</v>
      </c>
    </row>
    <row r="2100" spans="1:8" ht="15.6">
      <c r="A2100" s="770"/>
      <c r="B2100" s="772"/>
      <c r="C2100" s="773"/>
      <c r="D2100" s="774"/>
      <c r="E2100" s="774"/>
      <c r="F2100" s="774"/>
      <c r="G2100" s="775"/>
      <c r="H2100" s="776"/>
    </row>
    <row r="2101" spans="1:8" ht="15.6">
      <c r="A2101" s="786" t="s">
        <v>12</v>
      </c>
      <c r="B2101" s="969" t="s">
        <v>1639</v>
      </c>
      <c r="C2101" s="779">
        <v>1</v>
      </c>
      <c r="D2101" s="780" t="s">
        <v>21</v>
      </c>
      <c r="E2101" s="780" t="s">
        <v>16</v>
      </c>
      <c r="F2101" s="791">
        <v>1250000</v>
      </c>
      <c r="G2101" s="791">
        <f>F2101*C2101</f>
        <v>1250000</v>
      </c>
      <c r="H2101" s="971"/>
    </row>
    <row r="2102" spans="1:8" ht="15.6">
      <c r="A2102" s="786"/>
      <c r="B2102" s="778" t="s">
        <v>1640</v>
      </c>
      <c r="C2102" s="779"/>
      <c r="D2102" s="780"/>
      <c r="E2102" s="780"/>
      <c r="F2102" s="780"/>
      <c r="G2102" s="986"/>
      <c r="H2102" s="971"/>
    </row>
    <row r="2103" spans="1:8" ht="15.6">
      <c r="A2103" s="786"/>
      <c r="B2103" s="778" t="s">
        <v>1641</v>
      </c>
      <c r="C2103" s="779"/>
      <c r="D2103" s="780"/>
      <c r="E2103" s="780"/>
      <c r="F2103" s="791"/>
      <c r="G2103" s="791"/>
      <c r="H2103" s="971"/>
    </row>
    <row r="2104" spans="1:8" ht="15.6">
      <c r="A2104" s="786"/>
      <c r="B2104" s="778" t="s">
        <v>1642</v>
      </c>
      <c r="C2104" s="779"/>
      <c r="D2104" s="780"/>
      <c r="E2104" s="780"/>
      <c r="F2104" s="780"/>
      <c r="G2104" s="986"/>
      <c r="H2104" s="971"/>
    </row>
    <row r="2105" spans="1:8" ht="15.6">
      <c r="A2105" s="786"/>
      <c r="B2105" s="969"/>
      <c r="C2105" s="779"/>
      <c r="D2105" s="780"/>
      <c r="E2105" s="780"/>
      <c r="F2105" s="791"/>
      <c r="G2105" s="791"/>
      <c r="H2105" s="971"/>
    </row>
    <row r="2106" spans="1:8" ht="15.6">
      <c r="A2106" s="790"/>
      <c r="B2106" s="777"/>
      <c r="C2106" s="788"/>
      <c r="D2106" s="780"/>
      <c r="E2106" s="780"/>
      <c r="F2106" s="788"/>
      <c r="G2106" s="788"/>
      <c r="H2106" s="789"/>
    </row>
    <row r="2107" spans="1:8" ht="15.6">
      <c r="A2107" s="793"/>
      <c r="B2107" s="783"/>
      <c r="C2107" s="794"/>
      <c r="D2107" s="795"/>
      <c r="E2107" s="811"/>
      <c r="F2107" s="811" t="s">
        <v>25</v>
      </c>
      <c r="G2107" s="813">
        <f>G2101</f>
        <v>1250000</v>
      </c>
      <c r="H2107" s="810"/>
    </row>
    <row r="2108" spans="1:8" ht="15.6">
      <c r="A2108" s="820"/>
      <c r="B2108" s="821"/>
      <c r="C2108" s="822"/>
      <c r="D2108" s="822"/>
      <c r="E2108" s="823"/>
      <c r="F2108" s="819" t="s">
        <v>1151</v>
      </c>
      <c r="G2108" s="964"/>
      <c r="H2108" s="825"/>
    </row>
    <row r="2109" spans="1:8" ht="15.6">
      <c r="A2109" s="796"/>
      <c r="B2109" s="797"/>
      <c r="C2109" s="784"/>
      <c r="D2109" s="784"/>
      <c r="E2109" s="785"/>
      <c r="F2109" s="812"/>
      <c r="G2109" s="798"/>
      <c r="H2109" s="826">
        <f>G2107+G2108</f>
        <v>1250000</v>
      </c>
    </row>
    <row r="2110" spans="1:8" ht="15.6">
      <c r="A2110" s="820"/>
      <c r="B2110" s="821"/>
      <c r="C2110" s="822"/>
      <c r="D2110" s="822"/>
      <c r="E2110" s="823"/>
      <c r="F2110" s="819"/>
      <c r="G2110" s="824"/>
      <c r="H2110" s="827"/>
    </row>
    <row r="2111" spans="1:8" ht="15.6">
      <c r="A2111" s="799"/>
      <c r="B2111" s="800"/>
      <c r="C2111" s="800"/>
      <c r="D2111" s="800"/>
      <c r="E2111" s="800"/>
      <c r="F2111" s="801"/>
      <c r="G2111" s="828" t="s">
        <v>28</v>
      </c>
      <c r="H2111" s="775">
        <f>H2109</f>
        <v>1250000</v>
      </c>
    </row>
    <row r="2112" spans="1:8" ht="15.6">
      <c r="A2112" s="802"/>
      <c r="B2112" s="803"/>
      <c r="C2112" s="804"/>
      <c r="D2112" s="804"/>
      <c r="E2112" s="804"/>
      <c r="F2112" s="805"/>
      <c r="G2112" s="829" t="s">
        <v>30</v>
      </c>
      <c r="H2112" s="807">
        <f>ROUND(H2111,-3)</f>
        <v>1250000</v>
      </c>
    </row>
    <row r="2113" spans="1:8" ht="15.6">
      <c r="A2113" s="49"/>
      <c r="B2113" s="49"/>
      <c r="C2113" s="49"/>
      <c r="D2113" s="49"/>
      <c r="E2113" s="49"/>
      <c r="F2113" s="49"/>
      <c r="G2113" s="49"/>
      <c r="H2113" s="50"/>
    </row>
    <row r="2114" spans="1:8" ht="18">
      <c r="A2114" s="768" t="s">
        <v>1150</v>
      </c>
      <c r="B2114" s="49"/>
      <c r="C2114" s="49"/>
      <c r="D2114" s="49"/>
      <c r="E2114" s="49"/>
      <c r="F2114" s="49"/>
      <c r="G2114" s="49"/>
      <c r="H2114" s="50"/>
    </row>
    <row r="2115" spans="1:8" ht="17.399999999999999">
      <c r="A2115" s="49"/>
      <c r="B2115" s="965" t="s">
        <v>1643</v>
      </c>
      <c r="C2115" s="49"/>
      <c r="D2115" s="49"/>
      <c r="E2115" s="49"/>
      <c r="F2115" s="49"/>
      <c r="G2115" s="49"/>
      <c r="H2115" s="50"/>
    </row>
    <row r="2116" spans="1:8" ht="15.6">
      <c r="A2116" s="49"/>
      <c r="B2116" s="49"/>
      <c r="C2116" s="49"/>
      <c r="D2116" s="49"/>
      <c r="E2116" s="49"/>
      <c r="F2116" s="49"/>
      <c r="G2116" s="49"/>
      <c r="H2116" s="50"/>
    </row>
    <row r="2117" spans="1:8" ht="15.6">
      <c r="A2117" s="51"/>
      <c r="B2117" s="51"/>
      <c r="C2117" s="51"/>
      <c r="D2117" s="51"/>
      <c r="E2117" s="51"/>
      <c r="F2117" s="51"/>
      <c r="G2117" s="1509" t="s">
        <v>1637</v>
      </c>
      <c r="H2117" s="1509"/>
    </row>
    <row r="2118" spans="1:8" ht="15.6">
      <c r="A2118" s="1509" t="s">
        <v>31</v>
      </c>
      <c r="B2118" s="1509"/>
      <c r="C2118" s="1509" t="s">
        <v>32</v>
      </c>
      <c r="D2118" s="1509"/>
      <c r="E2118" s="1509"/>
      <c r="F2118" s="51"/>
      <c r="G2118" s="1509" t="s">
        <v>33</v>
      </c>
      <c r="H2118" s="1509"/>
    </row>
    <row r="2119" spans="1:8" ht="15.6">
      <c r="A2119" s="51"/>
      <c r="B2119" s="51"/>
      <c r="C2119" s="51"/>
      <c r="D2119" s="51"/>
      <c r="E2119" s="51"/>
      <c r="F2119" s="51"/>
      <c r="G2119" s="51"/>
      <c r="H2119" s="51"/>
    </row>
    <row r="2120" spans="1:8" ht="15.6">
      <c r="A2120" s="51"/>
      <c r="B2120" s="51"/>
      <c r="C2120" s="51"/>
      <c r="D2120" s="51"/>
      <c r="E2120" s="51"/>
      <c r="F2120" s="51"/>
      <c r="G2120" s="51"/>
      <c r="H2120" s="51"/>
    </row>
    <row r="2121" spans="1:8" ht="15.6">
      <c r="A2121" s="51"/>
      <c r="B2121" s="51"/>
      <c r="C2121" s="51"/>
      <c r="D2121" s="51"/>
      <c r="E2121" s="51"/>
      <c r="F2121" s="51"/>
      <c r="G2121" s="51"/>
      <c r="H2121" s="51"/>
    </row>
    <row r="2122" spans="1:8" ht="15.6">
      <c r="A2122" s="1512" t="s">
        <v>1622</v>
      </c>
      <c r="B2122" s="1512"/>
      <c r="C2122" s="1512" t="s">
        <v>1603</v>
      </c>
      <c r="D2122" s="1512"/>
      <c r="E2122" s="1512"/>
      <c r="F2122" s="51"/>
      <c r="G2122" s="1512" t="s">
        <v>36</v>
      </c>
      <c r="H2122" s="1512"/>
    </row>
    <row r="2123" spans="1:8" ht="15.6">
      <c r="A2123" s="1509" t="s">
        <v>37</v>
      </c>
      <c r="B2123" s="1509"/>
      <c r="C2123" s="1509" t="s">
        <v>1604</v>
      </c>
      <c r="D2123" s="1509"/>
      <c r="E2123" s="1509"/>
      <c r="F2123" s="51"/>
      <c r="G2123" s="1509" t="s">
        <v>39</v>
      </c>
      <c r="H2123" s="1509"/>
    </row>
    <row r="2124" spans="1:8" ht="15.6">
      <c r="A2124" s="602"/>
      <c r="B2124" s="602"/>
      <c r="C2124" s="602"/>
      <c r="D2124" s="602"/>
      <c r="E2124" s="602"/>
      <c r="F2124" s="51"/>
      <c r="G2124" s="602"/>
      <c r="H2124" s="602"/>
    </row>
    <row r="2127" spans="1:8" ht="28.8">
      <c r="A2127" s="597"/>
      <c r="B2127" s="597"/>
      <c r="C2127" s="1513" t="s">
        <v>235</v>
      </c>
      <c r="D2127" s="1513"/>
      <c r="E2127" s="1513"/>
      <c r="F2127" s="1513"/>
      <c r="G2127" s="1513"/>
      <c r="H2127" s="1513"/>
    </row>
    <row r="2128" spans="1:8" ht="28.8">
      <c r="A2128" s="597"/>
      <c r="B2128" s="597"/>
      <c r="C2128" s="1541" t="s">
        <v>1420</v>
      </c>
      <c r="D2128" s="1541"/>
      <c r="E2128" s="1541"/>
      <c r="F2128" s="1541"/>
      <c r="G2128" s="1541"/>
      <c r="H2128" s="1541"/>
    </row>
    <row r="2129" spans="1:8" ht="23.4">
      <c r="A2129" s="830"/>
      <c r="B2129" s="830"/>
      <c r="C2129" s="1537" t="s">
        <v>1078</v>
      </c>
      <c r="D2129" s="1537"/>
      <c r="E2129" s="1537"/>
      <c r="F2129" s="1537"/>
      <c r="G2129" s="1537"/>
      <c r="H2129" s="1537"/>
    </row>
    <row r="2130" spans="1:8" ht="15.6">
      <c r="A2130" s="769"/>
      <c r="B2130" s="769"/>
      <c r="C2130" s="769"/>
      <c r="D2130" s="769"/>
      <c r="E2130" s="769"/>
      <c r="F2130" s="769"/>
      <c r="G2130" s="769"/>
      <c r="H2130" s="769"/>
    </row>
    <row r="2131" spans="1:8" ht="15.6">
      <c r="A2131" s="769"/>
      <c r="B2131" s="769"/>
      <c r="C2131" s="769"/>
      <c r="D2131" s="769"/>
      <c r="E2131" s="769"/>
      <c r="F2131" s="769"/>
      <c r="G2131" s="769"/>
      <c r="H2131" s="769"/>
    </row>
    <row r="2132" spans="1:8" ht="15.6">
      <c r="A2132" s="1516" t="s">
        <v>3</v>
      </c>
      <c r="B2132" s="1516" t="s">
        <v>4</v>
      </c>
      <c r="C2132" s="1516" t="s">
        <v>5</v>
      </c>
      <c r="D2132" s="1516" t="s">
        <v>6</v>
      </c>
      <c r="E2132" s="1516" t="s">
        <v>7</v>
      </c>
      <c r="F2132" s="770" t="s">
        <v>8</v>
      </c>
      <c r="G2132" s="770" t="s">
        <v>9</v>
      </c>
      <c r="H2132" s="770" t="s">
        <v>10</v>
      </c>
    </row>
    <row r="2133" spans="1:8" ht="15.6">
      <c r="A2133" s="1517"/>
      <c r="B2133" s="1517"/>
      <c r="C2133" s="1517"/>
      <c r="D2133" s="1517"/>
      <c r="E2133" s="1517"/>
      <c r="F2133" s="771" t="s">
        <v>11</v>
      </c>
      <c r="G2133" s="771" t="s">
        <v>11</v>
      </c>
      <c r="H2133" s="771" t="s">
        <v>11</v>
      </c>
    </row>
    <row r="2134" spans="1:8" ht="15.6">
      <c r="A2134" s="770" t="s">
        <v>12</v>
      </c>
      <c r="B2134" s="772" t="s">
        <v>364</v>
      </c>
      <c r="C2134" s="773"/>
      <c r="D2134" s="774"/>
      <c r="E2134" s="774"/>
      <c r="F2134" s="774"/>
      <c r="G2134" s="775"/>
      <c r="H2134" s="776"/>
    </row>
    <row r="2135" spans="1:8" ht="15.6">
      <c r="A2135" s="786"/>
      <c r="B2135" s="969" t="s">
        <v>1629</v>
      </c>
      <c r="C2135" s="779">
        <v>1</v>
      </c>
      <c r="D2135" s="780" t="s">
        <v>44</v>
      </c>
      <c r="E2135" s="780" t="s">
        <v>16</v>
      </c>
      <c r="F2135" s="791">
        <v>15180000</v>
      </c>
      <c r="G2135" s="791">
        <f>F2135*C2135</f>
        <v>15180000</v>
      </c>
      <c r="H2135" s="971"/>
    </row>
    <row r="2136" spans="1:8" ht="15.6">
      <c r="A2136" s="786"/>
      <c r="B2136" s="778" t="s">
        <v>1630</v>
      </c>
      <c r="C2136" s="779"/>
      <c r="D2136" s="780"/>
      <c r="E2136" s="780"/>
      <c r="F2136" s="780"/>
      <c r="G2136" s="986"/>
      <c r="H2136" s="971"/>
    </row>
    <row r="2137" spans="1:8" ht="15.6">
      <c r="A2137" s="786"/>
      <c r="B2137" s="778" t="s">
        <v>1631</v>
      </c>
      <c r="C2137" s="779"/>
      <c r="D2137" s="780"/>
      <c r="E2137" s="780"/>
      <c r="F2137" s="791"/>
      <c r="G2137" s="791"/>
      <c r="H2137" s="971"/>
    </row>
    <row r="2138" spans="1:8" ht="15.6">
      <c r="A2138" s="786"/>
      <c r="B2138" s="778" t="s">
        <v>1632</v>
      </c>
      <c r="C2138" s="779"/>
      <c r="D2138" s="780"/>
      <c r="E2138" s="780"/>
      <c r="F2138" s="780"/>
      <c r="G2138" s="986"/>
      <c r="H2138" s="971"/>
    </row>
    <row r="2139" spans="1:8" ht="15.6">
      <c r="A2139" s="786"/>
      <c r="B2139" s="969"/>
      <c r="C2139" s="779"/>
      <c r="D2139" s="780"/>
      <c r="E2139" s="780"/>
      <c r="F2139" s="791"/>
      <c r="G2139" s="791"/>
      <c r="H2139" s="971"/>
    </row>
    <row r="2140" spans="1:8" ht="15.6">
      <c r="A2140" s="786"/>
      <c r="B2140" s="969" t="s">
        <v>1476</v>
      </c>
      <c r="C2140" s="779">
        <v>1</v>
      </c>
      <c r="D2140" s="780" t="s">
        <v>245</v>
      </c>
      <c r="E2140" s="780" t="s">
        <v>82</v>
      </c>
      <c r="F2140" s="791">
        <v>132000</v>
      </c>
      <c r="G2140" s="791">
        <f>F2140*C2140</f>
        <v>132000</v>
      </c>
      <c r="H2140" s="971"/>
    </row>
    <row r="2141" spans="1:8" ht="15.6">
      <c r="A2141" s="814"/>
      <c r="B2141" s="806"/>
      <c r="C2141" s="815"/>
      <c r="D2141" s="816"/>
      <c r="E2141" s="816"/>
      <c r="F2141" s="817"/>
      <c r="G2141" s="817"/>
      <c r="H2141" s="818">
        <f>SUM(G2134:G2141)</f>
        <v>15312000</v>
      </c>
    </row>
    <row r="2142" spans="1:8" ht="15.6">
      <c r="A2142" s="786" t="s">
        <v>18</v>
      </c>
      <c r="B2142" s="787" t="s">
        <v>19</v>
      </c>
      <c r="C2142" s="782"/>
      <c r="D2142" s="780"/>
      <c r="E2142" s="780"/>
      <c r="F2142" s="778"/>
      <c r="G2142" s="788"/>
      <c r="H2142" s="789"/>
    </row>
    <row r="2143" spans="1:8" ht="15.6">
      <c r="A2143" s="790"/>
      <c r="B2143" s="969" t="s">
        <v>1633</v>
      </c>
      <c r="C2143" s="779">
        <v>1</v>
      </c>
      <c r="D2143" s="780" t="s">
        <v>44</v>
      </c>
      <c r="E2143" s="780" t="s">
        <v>82</v>
      </c>
      <c r="F2143" s="788">
        <v>282240</v>
      </c>
      <c r="G2143" s="788">
        <f>F2143*C2143</f>
        <v>282240</v>
      </c>
      <c r="H2143" s="789"/>
    </row>
    <row r="2144" spans="1:8" ht="15.6">
      <c r="A2144" s="790"/>
      <c r="B2144" s="969" t="s">
        <v>1634</v>
      </c>
      <c r="C2144" s="779">
        <v>1</v>
      </c>
      <c r="D2144" s="780" t="s">
        <v>44</v>
      </c>
      <c r="E2144" s="780" t="s">
        <v>82</v>
      </c>
      <c r="F2144" s="788">
        <v>648855</v>
      </c>
      <c r="G2144" s="788">
        <f>F2144*C2144</f>
        <v>648855</v>
      </c>
      <c r="H2144" s="789"/>
    </row>
    <row r="2145" spans="1:8" ht="15.6">
      <c r="A2145" s="790"/>
      <c r="B2145" s="969" t="s">
        <v>1635</v>
      </c>
      <c r="C2145" s="779">
        <v>1</v>
      </c>
      <c r="D2145" s="780" t="s">
        <v>44</v>
      </c>
      <c r="E2145" s="780" t="s">
        <v>82</v>
      </c>
      <c r="F2145" s="788">
        <v>648855</v>
      </c>
      <c r="G2145" s="788">
        <f>F2145*C2145</f>
        <v>648855</v>
      </c>
      <c r="H2145" s="789"/>
    </row>
    <row r="2146" spans="1:8" ht="15.6">
      <c r="A2146" s="790"/>
      <c r="B2146" s="969" t="s">
        <v>1636</v>
      </c>
      <c r="C2146" s="779">
        <v>12</v>
      </c>
      <c r="D2146" s="780" t="s">
        <v>44</v>
      </c>
      <c r="E2146" s="780" t="s">
        <v>51</v>
      </c>
      <c r="F2146" s="788">
        <v>15000</v>
      </c>
      <c r="G2146" s="788">
        <f>F2146*C2146</f>
        <v>180000</v>
      </c>
      <c r="H2146" s="789"/>
    </row>
    <row r="2147" spans="1:8" ht="15.6">
      <c r="A2147" s="790"/>
      <c r="B2147" s="777"/>
      <c r="C2147" s="788"/>
      <c r="D2147" s="780"/>
      <c r="E2147" s="780"/>
      <c r="F2147" s="788"/>
      <c r="G2147" s="788"/>
      <c r="H2147" s="789"/>
    </row>
    <row r="2148" spans="1:8" ht="15.6">
      <c r="A2148" s="793"/>
      <c r="B2148" s="783"/>
      <c r="C2148" s="794"/>
      <c r="D2148" s="795"/>
      <c r="E2148" s="811"/>
      <c r="F2148" s="811" t="s">
        <v>25</v>
      </c>
      <c r="G2148" s="813">
        <f>SUM(G2143:G2147)</f>
        <v>1759950</v>
      </c>
      <c r="H2148" s="810"/>
    </row>
    <row r="2149" spans="1:8" ht="15.6">
      <c r="A2149" s="820"/>
      <c r="B2149" s="821"/>
      <c r="C2149" s="822"/>
      <c r="D2149" s="822"/>
      <c r="E2149" s="823"/>
      <c r="F2149" s="819" t="s">
        <v>1151</v>
      </c>
      <c r="G2149" s="964">
        <f>G2148/10</f>
        <v>175995</v>
      </c>
      <c r="H2149" s="825"/>
    </row>
    <row r="2150" spans="1:8" ht="15.6">
      <c r="A2150" s="796"/>
      <c r="B2150" s="797"/>
      <c r="C2150" s="784"/>
      <c r="D2150" s="784"/>
      <c r="E2150" s="785"/>
      <c r="F2150" s="812"/>
      <c r="G2150" s="798"/>
      <c r="H2150" s="826">
        <f>G2148+G2149</f>
        <v>1935945</v>
      </c>
    </row>
    <row r="2151" spans="1:8" ht="15.6">
      <c r="A2151" s="820"/>
      <c r="B2151" s="821"/>
      <c r="C2151" s="822"/>
      <c r="D2151" s="822"/>
      <c r="E2151" s="823"/>
      <c r="F2151" s="819"/>
      <c r="G2151" s="824"/>
      <c r="H2151" s="827"/>
    </row>
    <row r="2152" spans="1:8" ht="15.6">
      <c r="A2152" s="799"/>
      <c r="B2152" s="800"/>
      <c r="C2152" s="800"/>
      <c r="D2152" s="800"/>
      <c r="E2152" s="800"/>
      <c r="F2152" s="801"/>
      <c r="G2152" s="828" t="s">
        <v>28</v>
      </c>
      <c r="H2152" s="775">
        <f>H2150+H2141</f>
        <v>17247945</v>
      </c>
    </row>
    <row r="2153" spans="1:8" ht="15.6">
      <c r="A2153" s="802"/>
      <c r="B2153" s="803"/>
      <c r="C2153" s="804"/>
      <c r="D2153" s="804"/>
      <c r="E2153" s="804"/>
      <c r="F2153" s="805"/>
      <c r="G2153" s="829" t="s">
        <v>30</v>
      </c>
      <c r="H2153" s="807">
        <f>ROUND(H2152,-3)</f>
        <v>17248000</v>
      </c>
    </row>
    <row r="2154" spans="1:8" ht="15.6">
      <c r="A2154" s="49"/>
      <c r="B2154" s="49"/>
      <c r="C2154" s="49"/>
      <c r="D2154" s="49"/>
      <c r="E2154" s="49"/>
      <c r="F2154" s="49"/>
      <c r="G2154" s="49"/>
      <c r="H2154" s="50"/>
    </row>
    <row r="2155" spans="1:8" ht="18">
      <c r="A2155" s="768" t="s">
        <v>1150</v>
      </c>
      <c r="B2155" s="49"/>
      <c r="C2155" s="49"/>
      <c r="D2155" s="49"/>
      <c r="E2155" s="49"/>
      <c r="F2155" s="49"/>
      <c r="G2155" s="49"/>
      <c r="H2155" s="50"/>
    </row>
    <row r="2156" spans="1:8" ht="17.399999999999999">
      <c r="A2156" s="49"/>
      <c r="B2156" s="965" t="s">
        <v>1644</v>
      </c>
      <c r="C2156" s="49"/>
      <c r="D2156" s="49"/>
      <c r="E2156" s="49"/>
      <c r="F2156" s="49"/>
      <c r="G2156" s="49"/>
      <c r="H2156" s="50"/>
    </row>
    <row r="2157" spans="1:8" ht="15.6">
      <c r="A2157" s="49"/>
      <c r="B2157" s="49"/>
      <c r="C2157" s="49"/>
      <c r="D2157" s="49"/>
      <c r="E2157" s="49"/>
      <c r="F2157" s="49"/>
      <c r="G2157" s="49"/>
      <c r="H2157" s="50"/>
    </row>
    <row r="2158" spans="1:8" ht="15.6">
      <c r="A2158" s="51"/>
      <c r="B2158" s="51"/>
      <c r="C2158" s="51"/>
      <c r="D2158" s="51"/>
      <c r="E2158" s="51"/>
      <c r="F2158" s="51"/>
      <c r="G2158" s="1509" t="s">
        <v>1637</v>
      </c>
      <c r="H2158" s="1509"/>
    </row>
    <row r="2159" spans="1:8" ht="15.6">
      <c r="A2159" s="1509" t="s">
        <v>31</v>
      </c>
      <c r="B2159" s="1509"/>
      <c r="C2159" s="1509" t="s">
        <v>32</v>
      </c>
      <c r="D2159" s="1509"/>
      <c r="E2159" s="1509"/>
      <c r="F2159" s="51"/>
      <c r="G2159" s="1509" t="s">
        <v>33</v>
      </c>
      <c r="H2159" s="1509"/>
    </row>
    <row r="2160" spans="1:8" ht="15.6">
      <c r="A2160" s="51"/>
      <c r="B2160" s="51"/>
      <c r="C2160" s="51"/>
      <c r="D2160" s="51"/>
      <c r="E2160" s="51"/>
      <c r="F2160" s="51"/>
      <c r="G2160" s="51"/>
      <c r="H2160" s="51"/>
    </row>
    <row r="2161" spans="1:8" ht="15.6">
      <c r="A2161" s="51"/>
      <c r="B2161" s="51"/>
      <c r="C2161" s="51"/>
      <c r="D2161" s="51"/>
      <c r="E2161" s="51"/>
      <c r="F2161" s="51"/>
      <c r="G2161" s="51"/>
      <c r="H2161" s="51"/>
    </row>
    <row r="2162" spans="1:8" ht="15.6">
      <c r="A2162" s="51"/>
      <c r="B2162" s="51"/>
      <c r="C2162" s="51"/>
      <c r="D2162" s="51"/>
      <c r="E2162" s="51"/>
      <c r="F2162" s="51"/>
      <c r="G2162" s="51"/>
      <c r="H2162" s="51"/>
    </row>
    <row r="2163" spans="1:8" ht="15.6">
      <c r="A2163" s="1512" t="s">
        <v>1622</v>
      </c>
      <c r="B2163" s="1512"/>
      <c r="C2163" s="1512" t="s">
        <v>1603</v>
      </c>
      <c r="D2163" s="1512"/>
      <c r="E2163" s="1512"/>
      <c r="F2163" s="51"/>
      <c r="G2163" s="1512" t="s">
        <v>36</v>
      </c>
      <c r="H2163" s="1512"/>
    </row>
    <row r="2164" spans="1:8" ht="15.6">
      <c r="A2164" s="1509" t="s">
        <v>37</v>
      </c>
      <c r="B2164" s="1509"/>
      <c r="C2164" s="1509" t="s">
        <v>1604</v>
      </c>
      <c r="D2164" s="1509"/>
      <c r="E2164" s="1509"/>
      <c r="F2164" s="51"/>
      <c r="G2164" s="1509" t="s">
        <v>39</v>
      </c>
      <c r="H2164" s="1509"/>
    </row>
    <row r="2165" spans="1:8" ht="15.6">
      <c r="A2165" s="602"/>
      <c r="B2165" s="602"/>
      <c r="C2165" s="602"/>
      <c r="D2165" s="602"/>
      <c r="E2165" s="602"/>
      <c r="F2165" s="51"/>
      <c r="G2165" s="602"/>
      <c r="H2165" s="602"/>
    </row>
    <row r="2166" spans="1:8" ht="15.6">
      <c r="A2166" s="602"/>
      <c r="B2166" s="602"/>
      <c r="C2166" s="602"/>
      <c r="D2166" s="602"/>
      <c r="E2166" s="602"/>
      <c r="F2166" s="51"/>
      <c r="G2166" s="602"/>
      <c r="H2166" s="602"/>
    </row>
    <row r="2168" spans="1:8" ht="28.8">
      <c r="A2168" s="597"/>
      <c r="B2168" s="597"/>
      <c r="C2168" s="1513" t="s">
        <v>235</v>
      </c>
      <c r="D2168" s="1513"/>
      <c r="E2168" s="1513"/>
      <c r="F2168" s="1513"/>
      <c r="G2168" s="1513"/>
      <c r="H2168" s="1513"/>
    </row>
    <row r="2169" spans="1:8" ht="28.8">
      <c r="A2169" s="597"/>
      <c r="B2169" s="597"/>
      <c r="C2169" s="1541" t="s">
        <v>310</v>
      </c>
      <c r="D2169" s="1541"/>
      <c r="E2169" s="1541"/>
      <c r="F2169" s="1541"/>
      <c r="G2169" s="1541"/>
      <c r="H2169" s="1541"/>
    </row>
    <row r="2170" spans="1:8" ht="23.4">
      <c r="A2170" s="830"/>
      <c r="B2170" s="830"/>
      <c r="C2170" s="1537" t="s">
        <v>1470</v>
      </c>
      <c r="D2170" s="1537"/>
      <c r="E2170" s="1537"/>
      <c r="F2170" s="1537"/>
      <c r="G2170" s="1537"/>
      <c r="H2170" s="1537"/>
    </row>
    <row r="2171" spans="1:8" ht="15.6">
      <c r="A2171" s="769"/>
      <c r="B2171" s="769"/>
      <c r="C2171" s="769"/>
      <c r="D2171" s="769"/>
      <c r="E2171" s="769"/>
      <c r="F2171" s="769"/>
      <c r="G2171" s="769"/>
      <c r="H2171" s="769"/>
    </row>
    <row r="2172" spans="1:8" ht="15.6">
      <c r="A2172" s="769"/>
      <c r="B2172" s="769"/>
      <c r="C2172" s="769"/>
      <c r="D2172" s="769"/>
      <c r="E2172" s="769"/>
      <c r="F2172" s="769"/>
      <c r="G2172" s="769"/>
      <c r="H2172" s="769"/>
    </row>
    <row r="2173" spans="1:8" ht="15.6">
      <c r="A2173" s="1516" t="s">
        <v>3</v>
      </c>
      <c r="B2173" s="1516" t="s">
        <v>4</v>
      </c>
      <c r="C2173" s="1516" t="s">
        <v>5</v>
      </c>
      <c r="D2173" s="1516" t="s">
        <v>6</v>
      </c>
      <c r="E2173" s="1516" t="s">
        <v>7</v>
      </c>
      <c r="F2173" s="770" t="s">
        <v>8</v>
      </c>
      <c r="G2173" s="770" t="s">
        <v>9</v>
      </c>
      <c r="H2173" s="770" t="s">
        <v>10</v>
      </c>
    </row>
    <row r="2174" spans="1:8" ht="15.6">
      <c r="A2174" s="1517"/>
      <c r="B2174" s="1517"/>
      <c r="C2174" s="1517"/>
      <c r="D2174" s="1517"/>
      <c r="E2174" s="1517"/>
      <c r="F2174" s="771" t="s">
        <v>11</v>
      </c>
      <c r="G2174" s="771" t="s">
        <v>11</v>
      </c>
      <c r="H2174" s="771" t="s">
        <v>11</v>
      </c>
    </row>
    <row r="2175" spans="1:8" ht="15.6">
      <c r="A2175" s="770" t="s">
        <v>12</v>
      </c>
      <c r="B2175" s="772" t="s">
        <v>364</v>
      </c>
      <c r="C2175" s="773"/>
      <c r="D2175" s="774"/>
      <c r="E2175" s="774"/>
      <c r="F2175" s="774"/>
      <c r="G2175" s="775"/>
      <c r="H2175" s="776"/>
    </row>
    <row r="2176" spans="1:8" ht="15.6">
      <c r="A2176" s="786"/>
      <c r="B2176" s="969" t="s">
        <v>1541</v>
      </c>
      <c r="C2176" s="779">
        <v>6</v>
      </c>
      <c r="D2176" s="780" t="s">
        <v>132</v>
      </c>
      <c r="E2176" s="780" t="s">
        <v>197</v>
      </c>
      <c r="F2176" s="791" t="s">
        <v>126</v>
      </c>
      <c r="G2176" s="791" t="s">
        <v>126</v>
      </c>
      <c r="H2176" s="971"/>
    </row>
    <row r="2177" spans="1:8" ht="15.6">
      <c r="A2177" s="786"/>
      <c r="B2177" s="969" t="s">
        <v>1542</v>
      </c>
      <c r="C2177" s="779">
        <v>3</v>
      </c>
      <c r="D2177" s="780" t="s">
        <v>132</v>
      </c>
      <c r="E2177" s="780" t="s">
        <v>197</v>
      </c>
      <c r="F2177" s="780" t="s">
        <v>126</v>
      </c>
      <c r="G2177" s="986" t="s">
        <v>126</v>
      </c>
      <c r="H2177" s="971"/>
    </row>
    <row r="2178" spans="1:8" ht="15.6">
      <c r="A2178" s="786"/>
      <c r="B2178" s="969" t="s">
        <v>1543</v>
      </c>
      <c r="C2178" s="779">
        <v>2</v>
      </c>
      <c r="D2178" s="780" t="s">
        <v>44</v>
      </c>
      <c r="E2178" s="780" t="s">
        <v>197</v>
      </c>
      <c r="F2178" s="791" t="s">
        <v>126</v>
      </c>
      <c r="G2178" s="791" t="s">
        <v>126</v>
      </c>
      <c r="H2178" s="971"/>
    </row>
    <row r="2179" spans="1:8" ht="15.6">
      <c r="A2179" s="786"/>
      <c r="B2179" s="969" t="s">
        <v>1544</v>
      </c>
      <c r="C2179" s="779">
        <v>1</v>
      </c>
      <c r="D2179" s="780" t="s">
        <v>44</v>
      </c>
      <c r="E2179" s="780" t="s">
        <v>197</v>
      </c>
      <c r="F2179" s="780" t="s">
        <v>126</v>
      </c>
      <c r="G2179" s="986" t="s">
        <v>126</v>
      </c>
      <c r="H2179" s="971"/>
    </row>
    <row r="2180" spans="1:8" ht="15.6">
      <c r="A2180" s="786"/>
      <c r="B2180" s="969" t="s">
        <v>1545</v>
      </c>
      <c r="C2180" s="779">
        <v>2</v>
      </c>
      <c r="D2180" s="780" t="s">
        <v>44</v>
      </c>
      <c r="E2180" s="780" t="s">
        <v>197</v>
      </c>
      <c r="F2180" s="791" t="s">
        <v>126</v>
      </c>
      <c r="G2180" s="791" t="s">
        <v>126</v>
      </c>
      <c r="H2180" s="971"/>
    </row>
    <row r="2181" spans="1:8" ht="15.6">
      <c r="A2181" s="786"/>
      <c r="B2181" s="969" t="s">
        <v>1546</v>
      </c>
      <c r="C2181" s="779">
        <v>1</v>
      </c>
      <c r="D2181" s="780" t="s">
        <v>44</v>
      </c>
      <c r="E2181" s="780" t="s">
        <v>197</v>
      </c>
      <c r="F2181" s="791" t="s">
        <v>126</v>
      </c>
      <c r="G2181" s="791" t="s">
        <v>126</v>
      </c>
      <c r="H2181" s="971"/>
    </row>
    <row r="2182" spans="1:8" ht="15.6">
      <c r="A2182" s="786"/>
      <c r="B2182" s="969" t="s">
        <v>1547</v>
      </c>
      <c r="C2182" s="779">
        <v>3</v>
      </c>
      <c r="D2182" s="780" t="s">
        <v>44</v>
      </c>
      <c r="E2182" s="780" t="s">
        <v>16</v>
      </c>
      <c r="F2182" s="788">
        <v>75000</v>
      </c>
      <c r="G2182" s="788">
        <f>F2182*C2182</f>
        <v>225000</v>
      </c>
      <c r="H2182" s="971"/>
    </row>
    <row r="2183" spans="1:8" ht="15.6">
      <c r="A2183" s="786"/>
      <c r="B2183" s="969" t="s">
        <v>1548</v>
      </c>
      <c r="C2183" s="779">
        <v>1</v>
      </c>
      <c r="D2183" s="780" t="s">
        <v>44</v>
      </c>
      <c r="E2183" s="780" t="s">
        <v>51</v>
      </c>
      <c r="F2183" s="788">
        <v>150000</v>
      </c>
      <c r="G2183" s="788">
        <f>F2183*C2183</f>
        <v>150000</v>
      </c>
      <c r="H2183" s="971"/>
    </row>
    <row r="2184" spans="1:8" ht="15.6">
      <c r="A2184" s="814"/>
      <c r="B2184" s="806"/>
      <c r="C2184" s="815"/>
      <c r="D2184" s="816"/>
      <c r="E2184" s="816"/>
      <c r="F2184" s="817"/>
      <c r="G2184" s="817"/>
      <c r="H2184" s="818">
        <f>SUM(G2175:G2184)</f>
        <v>375000</v>
      </c>
    </row>
    <row r="2185" spans="1:8" ht="15.6">
      <c r="A2185" s="786" t="s">
        <v>18</v>
      </c>
      <c r="B2185" s="787" t="s">
        <v>19</v>
      </c>
      <c r="C2185" s="782"/>
      <c r="D2185" s="780"/>
      <c r="E2185" s="780"/>
      <c r="F2185" s="778"/>
      <c r="G2185" s="788"/>
      <c r="H2185" s="789"/>
    </row>
    <row r="2186" spans="1:8" ht="15.6">
      <c r="A2186" s="790"/>
      <c r="B2186" s="778" t="s">
        <v>1549</v>
      </c>
      <c r="C2186" s="779"/>
      <c r="D2186" s="791"/>
      <c r="E2186" s="780"/>
      <c r="F2186" s="789"/>
      <c r="G2186" s="788"/>
      <c r="H2186" s="789"/>
    </row>
    <row r="2187" spans="1:8" ht="15.6">
      <c r="A2187" s="790"/>
      <c r="B2187" s="969" t="s">
        <v>1550</v>
      </c>
      <c r="C2187" s="779">
        <v>1</v>
      </c>
      <c r="D2187" s="780" t="s">
        <v>69</v>
      </c>
      <c r="E2187" s="780" t="s">
        <v>51</v>
      </c>
      <c r="F2187" s="788">
        <v>500000</v>
      </c>
      <c r="G2187" s="788">
        <f t="shared" ref="G2187:G2192" si="11">F2187*C2187</f>
        <v>500000</v>
      </c>
      <c r="H2187" s="789"/>
    </row>
    <row r="2188" spans="1:8" ht="15.6">
      <c r="A2188" s="790"/>
      <c r="B2188" s="969" t="s">
        <v>1551</v>
      </c>
      <c r="C2188" s="779">
        <v>1</v>
      </c>
      <c r="D2188" s="780" t="s">
        <v>69</v>
      </c>
      <c r="E2188" s="780" t="s">
        <v>51</v>
      </c>
      <c r="F2188" s="788">
        <v>350000</v>
      </c>
      <c r="G2188" s="788">
        <f t="shared" si="11"/>
        <v>350000</v>
      </c>
      <c r="H2188" s="789"/>
    </row>
    <row r="2189" spans="1:8" ht="15.6">
      <c r="A2189" s="790"/>
      <c r="B2189" s="969" t="s">
        <v>1552</v>
      </c>
      <c r="C2189" s="779">
        <v>1</v>
      </c>
      <c r="D2189" s="780" t="s">
        <v>21</v>
      </c>
      <c r="E2189" s="780" t="s">
        <v>51</v>
      </c>
      <c r="F2189" s="788">
        <v>300000</v>
      </c>
      <c r="G2189" s="788">
        <f t="shared" si="11"/>
        <v>300000</v>
      </c>
      <c r="H2189" s="789"/>
    </row>
    <row r="2190" spans="1:8" ht="15.6">
      <c r="A2190" s="790"/>
      <c r="B2190" s="969" t="s">
        <v>1553</v>
      </c>
      <c r="C2190" s="779">
        <v>1</v>
      </c>
      <c r="D2190" s="780" t="s">
        <v>21</v>
      </c>
      <c r="E2190" s="780" t="s">
        <v>51</v>
      </c>
      <c r="F2190" s="788">
        <v>500000</v>
      </c>
      <c r="G2190" s="788">
        <f t="shared" si="11"/>
        <v>500000</v>
      </c>
      <c r="H2190" s="789"/>
    </row>
    <row r="2191" spans="1:8" ht="15.6">
      <c r="A2191" s="790"/>
      <c r="B2191" s="969" t="s">
        <v>1554</v>
      </c>
      <c r="C2191" s="779">
        <v>2</v>
      </c>
      <c r="D2191" s="780" t="s">
        <v>21</v>
      </c>
      <c r="E2191" s="780" t="s">
        <v>51</v>
      </c>
      <c r="F2191" s="788">
        <v>1500000</v>
      </c>
      <c r="G2191" s="788">
        <f t="shared" si="11"/>
        <v>3000000</v>
      </c>
      <c r="H2191" s="789"/>
    </row>
    <row r="2192" spans="1:8" ht="15.6">
      <c r="A2192" s="790"/>
      <c r="B2192" s="969" t="s">
        <v>1555</v>
      </c>
      <c r="C2192" s="779">
        <v>1</v>
      </c>
      <c r="D2192" s="780" t="s">
        <v>21</v>
      </c>
      <c r="E2192" s="780" t="s">
        <v>51</v>
      </c>
      <c r="F2192" s="788">
        <v>1950000</v>
      </c>
      <c r="G2192" s="788">
        <f t="shared" si="11"/>
        <v>1950000</v>
      </c>
      <c r="H2192" s="789"/>
    </row>
    <row r="2193" spans="1:8" ht="15.6">
      <c r="A2193" s="790"/>
      <c r="B2193" s="969"/>
      <c r="C2193" s="779"/>
      <c r="D2193" s="780"/>
      <c r="E2193" s="780"/>
      <c r="F2193" s="788"/>
      <c r="G2193" s="788"/>
      <c r="H2193" s="789"/>
    </row>
    <row r="2194" spans="1:8" ht="15.6">
      <c r="A2194" s="790"/>
      <c r="B2194" s="778" t="s">
        <v>1626</v>
      </c>
      <c r="C2194" s="779"/>
      <c r="D2194" s="780"/>
      <c r="E2194" s="780"/>
      <c r="F2194" s="788"/>
      <c r="G2194" s="788"/>
      <c r="H2194" s="789"/>
    </row>
    <row r="2195" spans="1:8" ht="15.6">
      <c r="A2195" s="790"/>
      <c r="B2195" s="969" t="s">
        <v>1621</v>
      </c>
      <c r="C2195" s="779">
        <v>198</v>
      </c>
      <c r="D2195" s="780" t="s">
        <v>81</v>
      </c>
      <c r="E2195" s="780" t="s">
        <v>82</v>
      </c>
      <c r="F2195" s="788">
        <v>4786.5</v>
      </c>
      <c r="G2195" s="788">
        <f>F2195*C2195</f>
        <v>947727</v>
      </c>
      <c r="H2195" s="789"/>
    </row>
    <row r="2196" spans="1:8" ht="15.6">
      <c r="A2196" s="790"/>
      <c r="B2196" s="969" t="s">
        <v>1558</v>
      </c>
      <c r="C2196" s="779">
        <v>570</v>
      </c>
      <c r="D2196" s="780" t="s">
        <v>84</v>
      </c>
      <c r="E2196" s="780" t="s">
        <v>82</v>
      </c>
      <c r="F2196" s="788">
        <v>3200.16</v>
      </c>
      <c r="G2196" s="788">
        <f>F2196*C2196</f>
        <v>1824091.2</v>
      </c>
      <c r="H2196" s="789"/>
    </row>
    <row r="2197" spans="1:8" ht="15.6">
      <c r="A2197" s="790"/>
      <c r="B2197" s="969" t="s">
        <v>1559</v>
      </c>
      <c r="C2197" s="779">
        <v>396</v>
      </c>
      <c r="D2197" s="780" t="s">
        <v>84</v>
      </c>
      <c r="E2197" s="780" t="s">
        <v>82</v>
      </c>
      <c r="F2197" s="788">
        <v>3200.16</v>
      </c>
      <c r="G2197" s="788">
        <f>F2197*C2197</f>
        <v>1267263.3599999999</v>
      </c>
      <c r="H2197" s="789"/>
    </row>
    <row r="2198" spans="1:8" ht="15.6">
      <c r="A2198" s="790"/>
      <c r="B2198" s="969" t="s">
        <v>1627</v>
      </c>
      <c r="C2198" s="997">
        <v>27.72</v>
      </c>
      <c r="D2198" s="780" t="s">
        <v>81</v>
      </c>
      <c r="E2198" s="780" t="s">
        <v>1649</v>
      </c>
      <c r="F2198" s="788">
        <v>40897.449999999997</v>
      </c>
      <c r="G2198" s="788">
        <f>F2198*C2198</f>
        <v>1133677.3139999998</v>
      </c>
      <c r="H2198" s="789"/>
    </row>
    <row r="2199" spans="1:8" ht="15.6">
      <c r="A2199" s="790"/>
      <c r="B2199" s="969"/>
      <c r="C2199" s="779"/>
      <c r="D2199" s="780"/>
      <c r="E2199" s="780"/>
      <c r="F2199" s="788"/>
      <c r="G2199" s="788"/>
      <c r="H2199" s="789"/>
    </row>
    <row r="2200" spans="1:8" ht="15.6">
      <c r="A2200" s="790"/>
      <c r="B2200" s="778" t="s">
        <v>1628</v>
      </c>
      <c r="C2200" s="779">
        <v>1</v>
      </c>
      <c r="D2200" s="780" t="s">
        <v>69</v>
      </c>
      <c r="E2200" s="780" t="s">
        <v>51</v>
      </c>
      <c r="F2200" s="788">
        <v>300000</v>
      </c>
      <c r="G2200" s="788">
        <f>F2200*C2200</f>
        <v>300000</v>
      </c>
      <c r="H2200" s="789"/>
    </row>
    <row r="2201" spans="1:8" ht="15.6">
      <c r="A2201" s="790"/>
      <c r="B2201" s="777"/>
      <c r="C2201" s="788"/>
      <c r="D2201" s="780"/>
      <c r="E2201" s="780"/>
      <c r="F2201" s="788"/>
      <c r="G2201" s="788"/>
      <c r="H2201" s="789"/>
    </row>
    <row r="2202" spans="1:8" ht="15.6">
      <c r="A2202" s="793"/>
      <c r="B2202" s="783"/>
      <c r="C2202" s="794"/>
      <c r="D2202" s="795"/>
      <c r="E2202" s="811"/>
      <c r="F2202" s="811" t="s">
        <v>25</v>
      </c>
      <c r="G2202" s="813">
        <f>SUM(G2186:G2201)</f>
        <v>12072758.873999998</v>
      </c>
      <c r="H2202" s="810"/>
    </row>
    <row r="2203" spans="1:8" ht="15.6">
      <c r="A2203" s="820"/>
      <c r="B2203" s="821"/>
      <c r="C2203" s="822"/>
      <c r="D2203" s="822"/>
      <c r="E2203" s="823"/>
      <c r="F2203" s="819" t="s">
        <v>1151</v>
      </c>
      <c r="G2203" s="964">
        <f>G2202/10</f>
        <v>1207275.8873999999</v>
      </c>
      <c r="H2203" s="825"/>
    </row>
    <row r="2204" spans="1:8" ht="15.6">
      <c r="A2204" s="796"/>
      <c r="B2204" s="797"/>
      <c r="C2204" s="784"/>
      <c r="D2204" s="784"/>
      <c r="E2204" s="785"/>
      <c r="F2204" s="812"/>
      <c r="G2204" s="798"/>
      <c r="H2204" s="826">
        <f>G2202+G2203</f>
        <v>13280034.761399997</v>
      </c>
    </row>
    <row r="2205" spans="1:8" ht="15.6">
      <c r="A2205" s="820"/>
      <c r="B2205" s="821"/>
      <c r="C2205" s="822"/>
      <c r="D2205" s="822"/>
      <c r="E2205" s="823"/>
      <c r="F2205" s="819"/>
      <c r="G2205" s="824"/>
      <c r="H2205" s="827"/>
    </row>
    <row r="2206" spans="1:8" ht="15.6">
      <c r="A2206" s="799"/>
      <c r="B2206" s="800"/>
      <c r="C2206" s="800"/>
      <c r="D2206" s="800"/>
      <c r="E2206" s="800"/>
      <c r="F2206" s="801"/>
      <c r="G2206" s="828" t="s">
        <v>28</v>
      </c>
      <c r="H2206" s="775">
        <f>H2204+H2184</f>
        <v>13655034.761399997</v>
      </c>
    </row>
    <row r="2207" spans="1:8" ht="15.6">
      <c r="A2207" s="802"/>
      <c r="B2207" s="803"/>
      <c r="C2207" s="804"/>
      <c r="D2207" s="804"/>
      <c r="E2207" s="804"/>
      <c r="F2207" s="805"/>
      <c r="G2207" s="829" t="s">
        <v>30</v>
      </c>
      <c r="H2207" s="807">
        <f>ROUND(H2206,-3)</f>
        <v>13655000</v>
      </c>
    </row>
    <row r="2208" spans="1:8" ht="15.6">
      <c r="A2208" s="49"/>
      <c r="B2208" s="49"/>
      <c r="C2208" s="49"/>
      <c r="D2208" s="49"/>
      <c r="E2208" s="49"/>
      <c r="F2208" s="49"/>
      <c r="G2208" s="49"/>
      <c r="H2208" s="50"/>
    </row>
    <row r="2209" spans="1:8" ht="18">
      <c r="A2209" s="768" t="s">
        <v>1150</v>
      </c>
      <c r="B2209" s="49"/>
      <c r="C2209" s="49"/>
      <c r="D2209" s="49"/>
      <c r="E2209" s="49"/>
      <c r="F2209" s="49"/>
      <c r="G2209" s="49"/>
      <c r="H2209" s="50"/>
    </row>
    <row r="2210" spans="1:8" ht="17.399999999999999">
      <c r="A2210" s="49"/>
      <c r="B2210" s="965" t="s">
        <v>1650</v>
      </c>
      <c r="C2210" s="49"/>
      <c r="D2210" s="49"/>
      <c r="E2210" s="49"/>
      <c r="F2210" s="49"/>
      <c r="G2210" s="49"/>
      <c r="H2210" s="50"/>
    </row>
    <row r="2211" spans="1:8" ht="15.6">
      <c r="A2211" s="49"/>
      <c r="B2211" s="49"/>
      <c r="C2211" s="49"/>
      <c r="D2211" s="49"/>
      <c r="E2211" s="49"/>
      <c r="F2211" s="49"/>
      <c r="G2211" s="49"/>
      <c r="H2211" s="50"/>
    </row>
    <row r="2212" spans="1:8" ht="15.6">
      <c r="A2212" s="51"/>
      <c r="B2212" s="51"/>
      <c r="C2212" s="51"/>
      <c r="D2212" s="51"/>
      <c r="E2212" s="51"/>
      <c r="F2212" s="51"/>
      <c r="G2212" s="1509" t="s">
        <v>1637</v>
      </c>
      <c r="H2212" s="1509"/>
    </row>
    <row r="2213" spans="1:8" ht="15.6">
      <c r="A2213" s="1509" t="s">
        <v>31</v>
      </c>
      <c r="B2213" s="1509"/>
      <c r="C2213" s="1509" t="s">
        <v>32</v>
      </c>
      <c r="D2213" s="1509"/>
      <c r="E2213" s="1509"/>
      <c r="F2213" s="51"/>
      <c r="G2213" s="1509" t="s">
        <v>33</v>
      </c>
      <c r="H2213" s="1509"/>
    </row>
    <row r="2214" spans="1:8" ht="15.6">
      <c r="A2214" s="51"/>
      <c r="B2214" s="51"/>
      <c r="C2214" s="51"/>
      <c r="D2214" s="51"/>
      <c r="E2214" s="51"/>
      <c r="F2214" s="51"/>
      <c r="G2214" s="51"/>
      <c r="H2214" s="51"/>
    </row>
    <row r="2215" spans="1:8" ht="15.6">
      <c r="A2215" s="51"/>
      <c r="B2215" s="51"/>
      <c r="C2215" s="51"/>
      <c r="D2215" s="51"/>
      <c r="E2215" s="51"/>
      <c r="F2215" s="51"/>
      <c r="G2215" s="51"/>
      <c r="H2215" s="51"/>
    </row>
    <row r="2216" spans="1:8" ht="15.6">
      <c r="A2216" s="51"/>
      <c r="B2216" s="51"/>
      <c r="C2216" s="51"/>
      <c r="D2216" s="51"/>
      <c r="E2216" s="51"/>
      <c r="F2216" s="51"/>
      <c r="G2216" s="51"/>
      <c r="H2216" s="51"/>
    </row>
    <row r="2217" spans="1:8" ht="15.6">
      <c r="A2217" s="1512" t="s">
        <v>1622</v>
      </c>
      <c r="B2217" s="1512"/>
      <c r="C2217" s="1512" t="s">
        <v>1603</v>
      </c>
      <c r="D2217" s="1512"/>
      <c r="E2217" s="1512"/>
      <c r="F2217" s="51"/>
      <c r="G2217" s="1512" t="s">
        <v>36</v>
      </c>
      <c r="H2217" s="1512"/>
    </row>
    <row r="2218" spans="1:8" ht="15.6">
      <c r="A2218" s="1509" t="s">
        <v>37</v>
      </c>
      <c r="B2218" s="1509"/>
      <c r="C2218" s="1509" t="s">
        <v>1604</v>
      </c>
      <c r="D2218" s="1509"/>
      <c r="E2218" s="1509"/>
      <c r="F2218" s="51"/>
      <c r="G2218" s="1509" t="s">
        <v>39</v>
      </c>
      <c r="H2218" s="1509"/>
    </row>
    <row r="2219" spans="1:8" ht="28.8">
      <c r="A2219" s="597"/>
      <c r="B2219" s="597"/>
      <c r="C2219" s="1513" t="s">
        <v>235</v>
      </c>
      <c r="D2219" s="1513"/>
      <c r="E2219" s="1513"/>
      <c r="F2219" s="1513"/>
      <c r="G2219" s="1513"/>
      <c r="H2219" s="1513"/>
    </row>
    <row r="2220" spans="1:8" ht="28.8">
      <c r="A2220" s="597"/>
      <c r="B2220" s="597"/>
      <c r="C2220" s="1541" t="s">
        <v>1593</v>
      </c>
      <c r="D2220" s="1541"/>
      <c r="E2220" s="1541"/>
      <c r="F2220" s="1541"/>
      <c r="G2220" s="1541"/>
      <c r="H2220" s="1541"/>
    </row>
    <row r="2221" spans="1:8" ht="23.4">
      <c r="A2221" s="830"/>
      <c r="B2221" s="830"/>
      <c r="C2221" s="1537" t="s">
        <v>1594</v>
      </c>
      <c r="D2221" s="1537"/>
      <c r="E2221" s="1537"/>
      <c r="F2221" s="1537"/>
      <c r="G2221" s="1537"/>
      <c r="H2221" s="1537"/>
    </row>
    <row r="2222" spans="1:8" ht="15.6">
      <c r="A2222" s="769"/>
      <c r="B2222" s="769"/>
      <c r="C2222" s="769"/>
      <c r="D2222" s="769"/>
      <c r="E2222" s="769"/>
      <c r="F2222" s="769"/>
      <c r="G2222" s="769"/>
      <c r="H2222" s="769"/>
    </row>
    <row r="2223" spans="1:8" ht="15.6">
      <c r="A2223" s="769"/>
      <c r="B2223" s="769"/>
      <c r="C2223" s="769"/>
      <c r="D2223" s="769"/>
      <c r="E2223" s="769"/>
      <c r="F2223" s="769"/>
      <c r="G2223" s="769"/>
      <c r="H2223" s="769"/>
    </row>
    <row r="2224" spans="1:8" ht="15.6">
      <c r="A2224" s="1516" t="s">
        <v>3</v>
      </c>
      <c r="B2224" s="1516" t="s">
        <v>4</v>
      </c>
      <c r="C2224" s="1516" t="s">
        <v>5</v>
      </c>
      <c r="D2224" s="1516" t="s">
        <v>6</v>
      </c>
      <c r="E2224" s="1516" t="s">
        <v>7</v>
      </c>
      <c r="F2224" s="770" t="s">
        <v>8</v>
      </c>
      <c r="G2224" s="770" t="s">
        <v>9</v>
      </c>
      <c r="H2224" s="770" t="s">
        <v>10</v>
      </c>
    </row>
    <row r="2225" spans="1:8" ht="15.6">
      <c r="A2225" s="1517"/>
      <c r="B2225" s="1517"/>
      <c r="C2225" s="1517"/>
      <c r="D2225" s="1517"/>
      <c r="E2225" s="1517"/>
      <c r="F2225" s="771" t="s">
        <v>11</v>
      </c>
      <c r="G2225" s="771" t="s">
        <v>11</v>
      </c>
      <c r="H2225" s="771" t="s">
        <v>11</v>
      </c>
    </row>
    <row r="2226" spans="1:8" ht="15.6">
      <c r="A2226" s="770" t="s">
        <v>12</v>
      </c>
      <c r="B2226" s="772" t="s">
        <v>364</v>
      </c>
      <c r="C2226" s="773"/>
      <c r="D2226" s="774"/>
      <c r="E2226" s="774"/>
      <c r="F2226" s="774"/>
      <c r="G2226" s="775"/>
      <c r="H2226" s="776"/>
    </row>
    <row r="2227" spans="1:8" ht="15.6">
      <c r="A2227" s="786"/>
      <c r="B2227" s="969" t="s">
        <v>1583</v>
      </c>
      <c r="C2227" s="779">
        <v>1</v>
      </c>
      <c r="D2227" s="780" t="s">
        <v>245</v>
      </c>
      <c r="E2227" s="780" t="s">
        <v>197</v>
      </c>
      <c r="F2227" s="791" t="s">
        <v>126</v>
      </c>
      <c r="G2227" s="791" t="s">
        <v>126</v>
      </c>
      <c r="H2227" s="971"/>
    </row>
    <row r="2228" spans="1:8" ht="15.6">
      <c r="A2228" s="786"/>
      <c r="B2228" s="969" t="s">
        <v>1595</v>
      </c>
      <c r="C2228" s="779">
        <v>8</v>
      </c>
      <c r="D2228" s="780" t="s">
        <v>44</v>
      </c>
      <c r="E2228" s="780" t="s">
        <v>197</v>
      </c>
      <c r="F2228" s="791" t="s">
        <v>126</v>
      </c>
      <c r="G2228" s="791" t="s">
        <v>126</v>
      </c>
      <c r="H2228" s="971"/>
    </row>
    <row r="2229" spans="1:8" ht="15.6">
      <c r="A2229" s="786"/>
      <c r="B2229" s="969"/>
      <c r="C2229" s="779"/>
      <c r="D2229" s="780"/>
      <c r="E2229" s="780"/>
      <c r="F2229" s="788"/>
      <c r="G2229" s="788"/>
      <c r="H2229" s="971"/>
    </row>
    <row r="2230" spans="1:8" ht="15.6">
      <c r="A2230" s="814"/>
      <c r="B2230" s="806"/>
      <c r="C2230" s="815"/>
      <c r="D2230" s="816"/>
      <c r="E2230" s="816"/>
      <c r="F2230" s="817"/>
      <c r="G2230" s="817"/>
      <c r="H2230" s="818">
        <f>SUM(G2226:G2230)</f>
        <v>0</v>
      </c>
    </row>
    <row r="2231" spans="1:8" ht="15.6">
      <c r="A2231" s="786" t="s">
        <v>18</v>
      </c>
      <c r="B2231" s="787" t="s">
        <v>19</v>
      </c>
      <c r="C2231" s="782"/>
      <c r="D2231" s="780"/>
      <c r="E2231" s="780"/>
      <c r="F2231" s="778"/>
      <c r="G2231" s="788"/>
      <c r="H2231" s="789"/>
    </row>
    <row r="2232" spans="1:8" ht="15.6">
      <c r="A2232" s="790"/>
      <c r="B2232" s="969" t="s">
        <v>1596</v>
      </c>
      <c r="C2232" s="779">
        <v>2</v>
      </c>
      <c r="D2232" s="780" t="s">
        <v>44</v>
      </c>
      <c r="E2232" s="780" t="s">
        <v>16</v>
      </c>
      <c r="F2232" s="788">
        <v>366615</v>
      </c>
      <c r="G2232" s="788">
        <f>F2232*C2232</f>
        <v>733230</v>
      </c>
      <c r="H2232" s="789"/>
    </row>
    <row r="2233" spans="1:8" ht="15.6">
      <c r="A2233" s="790"/>
      <c r="B2233" s="969" t="s">
        <v>1597</v>
      </c>
      <c r="C2233" s="779">
        <v>2</v>
      </c>
      <c r="D2233" s="780" t="s">
        <v>44</v>
      </c>
      <c r="E2233" s="780" t="s">
        <v>16</v>
      </c>
      <c r="F2233" s="788">
        <v>366615</v>
      </c>
      <c r="G2233" s="788">
        <f>F2233*C2233</f>
        <v>733230</v>
      </c>
      <c r="H2233" s="789"/>
    </row>
    <row r="2234" spans="1:8" ht="15.6">
      <c r="A2234" s="790"/>
      <c r="B2234" s="969" t="s">
        <v>1598</v>
      </c>
      <c r="C2234" s="779">
        <v>2</v>
      </c>
      <c r="D2234" s="780" t="s">
        <v>44</v>
      </c>
      <c r="E2234" s="780" t="s">
        <v>51</v>
      </c>
      <c r="F2234" s="788">
        <v>100000</v>
      </c>
      <c r="G2234" s="788">
        <f>F2234*C2234</f>
        <v>200000</v>
      </c>
      <c r="H2234" s="789"/>
    </row>
    <row r="2235" spans="1:8" ht="15.6">
      <c r="A2235" s="790"/>
      <c r="B2235" s="969" t="s">
        <v>1599</v>
      </c>
      <c r="C2235" s="779">
        <v>2</v>
      </c>
      <c r="D2235" s="780" t="s">
        <v>1600</v>
      </c>
      <c r="E2235" s="780" t="s">
        <v>51</v>
      </c>
      <c r="F2235" s="788">
        <v>75000</v>
      </c>
      <c r="G2235" s="788">
        <f>F2235*C2235</f>
        <v>150000</v>
      </c>
      <c r="H2235" s="789"/>
    </row>
    <row r="2236" spans="1:8" ht="15.6">
      <c r="A2236" s="790"/>
      <c r="B2236" s="969"/>
      <c r="C2236" s="779"/>
      <c r="D2236" s="780"/>
      <c r="E2236" s="780"/>
      <c r="F2236" s="788"/>
      <c r="G2236" s="788"/>
      <c r="H2236" s="789"/>
    </row>
    <row r="2237" spans="1:8" ht="15.6">
      <c r="A2237" s="790"/>
      <c r="B2237" s="777"/>
      <c r="C2237" s="788"/>
      <c r="D2237" s="780"/>
      <c r="E2237" s="780"/>
      <c r="F2237" s="788"/>
      <c r="G2237" s="788"/>
      <c r="H2237" s="789"/>
    </row>
    <row r="2238" spans="1:8" ht="15.6">
      <c r="A2238" s="793"/>
      <c r="B2238" s="783"/>
      <c r="C2238" s="794"/>
      <c r="D2238" s="795"/>
      <c r="E2238" s="811"/>
      <c r="F2238" s="811" t="s">
        <v>25</v>
      </c>
      <c r="G2238" s="813">
        <f>SUM(G2232:G2237)</f>
        <v>1816460</v>
      </c>
      <c r="H2238" s="810"/>
    </row>
    <row r="2239" spans="1:8" ht="15.6">
      <c r="A2239" s="820"/>
      <c r="B2239" s="821"/>
      <c r="C2239" s="822"/>
      <c r="D2239" s="822"/>
      <c r="E2239" s="823"/>
      <c r="F2239" s="819" t="s">
        <v>1151</v>
      </c>
      <c r="G2239" s="964"/>
      <c r="H2239" s="825"/>
    </row>
    <row r="2240" spans="1:8" ht="15.6">
      <c r="A2240" s="796"/>
      <c r="B2240" s="797"/>
      <c r="C2240" s="784"/>
      <c r="D2240" s="784"/>
      <c r="E2240" s="785"/>
      <c r="F2240" s="812"/>
      <c r="G2240" s="798"/>
      <c r="H2240" s="826">
        <f>G2238+G2239</f>
        <v>1816460</v>
      </c>
    </row>
    <row r="2241" spans="1:8" ht="15.6">
      <c r="A2241" s="820"/>
      <c r="B2241" s="821"/>
      <c r="C2241" s="822"/>
      <c r="D2241" s="822"/>
      <c r="E2241" s="823"/>
      <c r="F2241" s="819"/>
      <c r="G2241" s="824"/>
      <c r="H2241" s="827"/>
    </row>
    <row r="2242" spans="1:8" ht="15.6">
      <c r="A2242" s="799"/>
      <c r="B2242" s="800"/>
      <c r="C2242" s="800"/>
      <c r="D2242" s="800"/>
      <c r="E2242" s="800"/>
      <c r="F2242" s="801"/>
      <c r="G2242" s="828" t="s">
        <v>28</v>
      </c>
      <c r="H2242" s="775">
        <f>H2240+H2230</f>
        <v>1816460</v>
      </c>
    </row>
    <row r="2243" spans="1:8" ht="15.6">
      <c r="A2243" s="802"/>
      <c r="B2243" s="803"/>
      <c r="C2243" s="804"/>
      <c r="D2243" s="804"/>
      <c r="E2243" s="804"/>
      <c r="F2243" s="805"/>
      <c r="G2243" s="829" t="s">
        <v>30</v>
      </c>
      <c r="H2243" s="807">
        <f>ROUND(H2242,-3)</f>
        <v>1816000</v>
      </c>
    </row>
    <row r="2244" spans="1:8" ht="15.6">
      <c r="A2244" s="49"/>
      <c r="B2244" s="49"/>
      <c r="C2244" s="49"/>
      <c r="D2244" s="49"/>
      <c r="E2244" s="49"/>
      <c r="F2244" s="49"/>
      <c r="G2244" s="49"/>
      <c r="H2244" s="50"/>
    </row>
    <row r="2245" spans="1:8" ht="18">
      <c r="A2245" s="768" t="s">
        <v>1150</v>
      </c>
      <c r="B2245" s="49"/>
      <c r="C2245" s="49"/>
      <c r="D2245" s="49"/>
      <c r="E2245" s="49"/>
      <c r="F2245" s="49"/>
      <c r="G2245" s="49"/>
      <c r="H2245" s="50"/>
    </row>
    <row r="2246" spans="1:8" ht="17.399999999999999">
      <c r="A2246" s="49"/>
      <c r="B2246" s="965" t="s">
        <v>1601</v>
      </c>
      <c r="C2246" s="49"/>
      <c r="D2246" s="49"/>
      <c r="E2246" s="49"/>
      <c r="F2246" s="49"/>
      <c r="G2246" s="49"/>
      <c r="H2246" s="50"/>
    </row>
    <row r="2247" spans="1:8" ht="15.6">
      <c r="A2247" s="49"/>
      <c r="B2247" s="49"/>
      <c r="C2247" s="49"/>
      <c r="D2247" s="49"/>
      <c r="E2247" s="49"/>
      <c r="F2247" s="49"/>
      <c r="G2247" s="49"/>
      <c r="H2247" s="50"/>
    </row>
    <row r="2248" spans="1:8" ht="15.6">
      <c r="A2248" s="51"/>
      <c r="B2248" s="51"/>
      <c r="C2248" s="51"/>
      <c r="D2248" s="51"/>
      <c r="E2248" s="51"/>
      <c r="F2248" s="51"/>
      <c r="G2248" s="1509" t="s">
        <v>1562</v>
      </c>
      <c r="H2248" s="1509"/>
    </row>
    <row r="2249" spans="1:8" ht="15.6">
      <c r="A2249" s="1509" t="s">
        <v>31</v>
      </c>
      <c r="B2249" s="1509"/>
      <c r="C2249" s="1509" t="s">
        <v>32</v>
      </c>
      <c r="D2249" s="1509"/>
      <c r="E2249" s="1509"/>
      <c r="F2249" s="51"/>
      <c r="G2249" s="1509" t="s">
        <v>33</v>
      </c>
      <c r="H2249" s="1509"/>
    </row>
    <row r="2250" spans="1:8" ht="15.6">
      <c r="A2250" s="51"/>
      <c r="B2250" s="51"/>
      <c r="C2250" s="51"/>
      <c r="D2250" s="51"/>
      <c r="E2250" s="51"/>
      <c r="F2250" s="51"/>
      <c r="G2250" s="51"/>
      <c r="H2250" s="51"/>
    </row>
    <row r="2251" spans="1:8" ht="15.6">
      <c r="A2251" s="51"/>
      <c r="B2251" s="51"/>
      <c r="C2251" s="51"/>
      <c r="D2251" s="51"/>
      <c r="E2251" s="51"/>
      <c r="F2251" s="51"/>
      <c r="G2251" s="51"/>
      <c r="H2251" s="51"/>
    </row>
    <row r="2252" spans="1:8" ht="15.6">
      <c r="A2252" s="51"/>
      <c r="B2252" s="51"/>
      <c r="C2252" s="51"/>
      <c r="D2252" s="51"/>
      <c r="E2252" s="51"/>
      <c r="F2252" s="51"/>
      <c r="G2252" s="51"/>
      <c r="H2252" s="51"/>
    </row>
    <row r="2253" spans="1:8" ht="15.6">
      <c r="A2253" s="1512" t="s">
        <v>34</v>
      </c>
      <c r="B2253" s="1512"/>
      <c r="C2253" s="1512" t="s">
        <v>35</v>
      </c>
      <c r="D2253" s="1512"/>
      <c r="E2253" s="1512"/>
      <c r="F2253" s="51"/>
      <c r="G2253" s="1512" t="s">
        <v>36</v>
      </c>
      <c r="H2253" s="1512"/>
    </row>
    <row r="2254" spans="1:8" ht="15.6">
      <c r="A2254" s="1509" t="s">
        <v>37</v>
      </c>
      <c r="B2254" s="1509"/>
      <c r="C2254" s="1509" t="s">
        <v>38</v>
      </c>
      <c r="D2254" s="1509"/>
      <c r="E2254" s="1509"/>
      <c r="F2254" s="51"/>
      <c r="G2254" s="1509" t="s">
        <v>39</v>
      </c>
      <c r="H2254" s="1509"/>
    </row>
    <row r="2255" spans="1:8" ht="15.6">
      <c r="A2255" s="602"/>
      <c r="B2255" s="602"/>
      <c r="C2255" s="602"/>
      <c r="D2255" s="602"/>
      <c r="E2255" s="602"/>
      <c r="F2255" s="51"/>
      <c r="G2255" s="602"/>
      <c r="H2255" s="602"/>
    </row>
    <row r="2256" spans="1:8" ht="28.8">
      <c r="A2256" s="597"/>
      <c r="B2256" s="597"/>
      <c r="C2256" s="1513" t="s">
        <v>1654</v>
      </c>
      <c r="D2256" s="1513"/>
      <c r="E2256" s="1513"/>
      <c r="F2256" s="1513"/>
      <c r="G2256" s="1513"/>
      <c r="H2256" s="1513"/>
    </row>
    <row r="2257" spans="1:8" ht="28.8">
      <c r="A2257" s="597"/>
      <c r="B2257" s="597"/>
      <c r="C2257" s="1541" t="s">
        <v>1576</v>
      </c>
      <c r="D2257" s="1541"/>
      <c r="E2257" s="1541"/>
      <c r="F2257" s="1541"/>
      <c r="G2257" s="1541"/>
      <c r="H2257" s="1541"/>
    </row>
    <row r="2258" spans="1:8" ht="23.4">
      <c r="A2258" s="830"/>
      <c r="B2258" s="830"/>
      <c r="C2258" s="1537" t="s">
        <v>311</v>
      </c>
      <c r="D2258" s="1537"/>
      <c r="E2258" s="1537"/>
      <c r="F2258" s="1537"/>
      <c r="G2258" s="1537"/>
      <c r="H2258" s="1537"/>
    </row>
    <row r="2259" spans="1:8" ht="15.6">
      <c r="A2259" s="769"/>
      <c r="B2259" s="769"/>
      <c r="C2259" s="769"/>
      <c r="D2259" s="769"/>
      <c r="E2259" s="769"/>
      <c r="F2259" s="769"/>
      <c r="G2259" s="769"/>
      <c r="H2259" s="769"/>
    </row>
    <row r="2260" spans="1:8" ht="15.6">
      <c r="A2260" s="769"/>
      <c r="B2260" s="769"/>
      <c r="C2260" s="769"/>
      <c r="D2260" s="769"/>
      <c r="E2260" s="769"/>
      <c r="F2260" s="769"/>
      <c r="G2260" s="769"/>
      <c r="H2260" s="769"/>
    </row>
    <row r="2261" spans="1:8" ht="15.6">
      <c r="A2261" s="1516" t="s">
        <v>3</v>
      </c>
      <c r="B2261" s="1516" t="s">
        <v>4</v>
      </c>
      <c r="C2261" s="1516" t="s">
        <v>5</v>
      </c>
      <c r="D2261" s="1516" t="s">
        <v>6</v>
      </c>
      <c r="E2261" s="1516" t="s">
        <v>7</v>
      </c>
      <c r="F2261" s="770" t="s">
        <v>8</v>
      </c>
      <c r="G2261" s="770" t="s">
        <v>9</v>
      </c>
      <c r="H2261" s="770" t="s">
        <v>10</v>
      </c>
    </row>
    <row r="2262" spans="1:8" ht="15.6">
      <c r="A2262" s="1517"/>
      <c r="B2262" s="1517"/>
      <c r="C2262" s="1517"/>
      <c r="D2262" s="1517"/>
      <c r="E2262" s="1517"/>
      <c r="F2262" s="771" t="s">
        <v>11</v>
      </c>
      <c r="G2262" s="771" t="s">
        <v>11</v>
      </c>
      <c r="H2262" s="771" t="s">
        <v>11</v>
      </c>
    </row>
    <row r="2263" spans="1:8" ht="15.6">
      <c r="A2263" s="770" t="s">
        <v>12</v>
      </c>
      <c r="B2263" s="772" t="s">
        <v>364</v>
      </c>
      <c r="C2263" s="773"/>
      <c r="D2263" s="774"/>
      <c r="E2263" s="774"/>
      <c r="F2263" s="774"/>
      <c r="G2263" s="775"/>
      <c r="H2263" s="776"/>
    </row>
    <row r="2264" spans="1:8" ht="15.6">
      <c r="A2264" s="786"/>
      <c r="B2264" s="969" t="s">
        <v>1577</v>
      </c>
      <c r="C2264" s="779">
        <v>1</v>
      </c>
      <c r="D2264" s="780" t="s">
        <v>44</v>
      </c>
      <c r="E2264" s="780" t="s">
        <v>16</v>
      </c>
      <c r="F2264" s="791">
        <v>2500000</v>
      </c>
      <c r="G2264" s="791">
        <f>C2264*F2264</f>
        <v>2500000</v>
      </c>
      <c r="H2264" s="971"/>
    </row>
    <row r="2265" spans="1:8" ht="15.6">
      <c r="A2265" s="786"/>
      <c r="B2265" s="778" t="s">
        <v>1578</v>
      </c>
      <c r="C2265" s="779"/>
      <c r="D2265" s="780"/>
      <c r="E2265" s="780"/>
      <c r="F2265" s="791"/>
      <c r="G2265" s="791"/>
      <c r="H2265" s="971"/>
    </row>
    <row r="2266" spans="1:8" ht="15.6">
      <c r="A2266" s="786"/>
      <c r="B2266" s="969" t="s">
        <v>1579</v>
      </c>
      <c r="C2266" s="779">
        <v>1</v>
      </c>
      <c r="D2266" s="780" t="s">
        <v>44</v>
      </c>
      <c r="E2266" s="780" t="s">
        <v>16</v>
      </c>
      <c r="F2266" s="791">
        <v>550000</v>
      </c>
      <c r="G2266" s="791">
        <f>C2266*F2266</f>
        <v>550000</v>
      </c>
      <c r="H2266" s="971"/>
    </row>
    <row r="2267" spans="1:8" ht="15.6">
      <c r="A2267" s="786"/>
      <c r="B2267" s="778" t="s">
        <v>1580</v>
      </c>
      <c r="C2267" s="779"/>
      <c r="D2267" s="780"/>
      <c r="E2267" s="780"/>
      <c r="F2267" s="780"/>
      <c r="G2267" s="986"/>
      <c r="H2267" s="971"/>
    </row>
    <row r="2268" spans="1:8" ht="15.6">
      <c r="A2268" s="786"/>
      <c r="B2268" s="969" t="s">
        <v>1581</v>
      </c>
      <c r="C2268" s="779">
        <v>1</v>
      </c>
      <c r="D2268" s="780" t="s">
        <v>44</v>
      </c>
      <c r="E2268" s="780" t="s">
        <v>16</v>
      </c>
      <c r="F2268" s="791">
        <v>3500000</v>
      </c>
      <c r="G2268" s="791">
        <f>C2268*F2268</f>
        <v>3500000</v>
      </c>
      <c r="H2268" s="971"/>
    </row>
    <row r="2269" spans="1:8" ht="15.6">
      <c r="A2269" s="786"/>
      <c r="B2269" s="969" t="s">
        <v>1582</v>
      </c>
      <c r="C2269" s="779">
        <v>24</v>
      </c>
      <c r="D2269" s="780" t="s">
        <v>44</v>
      </c>
      <c r="E2269" s="780" t="s">
        <v>82</v>
      </c>
      <c r="F2269" s="791">
        <v>5868</v>
      </c>
      <c r="G2269" s="791">
        <f>C2269*F2269</f>
        <v>140832</v>
      </c>
      <c r="H2269" s="971"/>
    </row>
    <row r="2270" spans="1:8" ht="15.6">
      <c r="A2270" s="786"/>
      <c r="B2270" s="969" t="s">
        <v>1583</v>
      </c>
      <c r="C2270" s="779">
        <v>2</v>
      </c>
      <c r="D2270" s="780" t="s">
        <v>245</v>
      </c>
      <c r="E2270" s="780" t="s">
        <v>82</v>
      </c>
      <c r="F2270" s="791">
        <v>132000</v>
      </c>
      <c r="G2270" s="791">
        <f>C2270*F2270</f>
        <v>264000</v>
      </c>
      <c r="H2270" s="971"/>
    </row>
    <row r="2271" spans="1:8" ht="15.6">
      <c r="A2271" s="786"/>
      <c r="B2271" s="969" t="s">
        <v>1584</v>
      </c>
      <c r="C2271" s="779">
        <v>0.3</v>
      </c>
      <c r="D2271" s="780" t="s">
        <v>245</v>
      </c>
      <c r="E2271" s="780" t="s">
        <v>16</v>
      </c>
      <c r="F2271" s="791">
        <v>1050000</v>
      </c>
      <c r="G2271" s="791">
        <f>C2271*F2271</f>
        <v>315000</v>
      </c>
      <c r="H2271" s="971"/>
    </row>
    <row r="2272" spans="1:8" ht="15.6">
      <c r="A2272" s="786"/>
      <c r="B2272" s="969" t="s">
        <v>1585</v>
      </c>
      <c r="C2272" s="779">
        <v>2</v>
      </c>
      <c r="D2272" s="780" t="s">
        <v>44</v>
      </c>
      <c r="E2272" s="780" t="s">
        <v>16</v>
      </c>
      <c r="F2272" s="788">
        <v>650000</v>
      </c>
      <c r="G2272" s="788">
        <f>F2272*C2272</f>
        <v>1300000</v>
      </c>
      <c r="H2272" s="971"/>
    </row>
    <row r="2273" spans="1:8" ht="15.6">
      <c r="A2273" s="786"/>
      <c r="B2273" s="969"/>
      <c r="C2273" s="779"/>
      <c r="D2273" s="780"/>
      <c r="E2273" s="780"/>
      <c r="F2273" s="788"/>
      <c r="G2273" s="788"/>
      <c r="H2273" s="971"/>
    </row>
    <row r="2274" spans="1:8" ht="15.6">
      <c r="A2274" s="814"/>
      <c r="B2274" s="806"/>
      <c r="C2274" s="815"/>
      <c r="D2274" s="816"/>
      <c r="E2274" s="816"/>
      <c r="F2274" s="817"/>
      <c r="G2274" s="817"/>
      <c r="H2274" s="818">
        <f>SUM(G2263:G2274)</f>
        <v>8569832</v>
      </c>
    </row>
    <row r="2275" spans="1:8" ht="15.6">
      <c r="A2275" s="786" t="s">
        <v>18</v>
      </c>
      <c r="B2275" s="787" t="s">
        <v>19</v>
      </c>
      <c r="C2275" s="782"/>
      <c r="D2275" s="780"/>
      <c r="E2275" s="780"/>
      <c r="F2275" s="778"/>
      <c r="G2275" s="788"/>
      <c r="H2275" s="789"/>
    </row>
    <row r="2276" spans="1:8" ht="15.6">
      <c r="A2276" s="790"/>
      <c r="B2276" s="969" t="s">
        <v>1586</v>
      </c>
      <c r="C2276" s="779">
        <v>5</v>
      </c>
      <c r="D2276" s="780" t="s">
        <v>245</v>
      </c>
      <c r="E2276" s="780" t="s">
        <v>82</v>
      </c>
      <c r="F2276" s="788">
        <v>214375</v>
      </c>
      <c r="G2276" s="788">
        <f t="shared" ref="G2276:G2283" si="12">F2276*C2276</f>
        <v>1071875</v>
      </c>
      <c r="H2276" s="789"/>
    </row>
    <row r="2277" spans="1:8" ht="15.6">
      <c r="A2277" s="790"/>
      <c r="B2277" s="969" t="s">
        <v>1587</v>
      </c>
      <c r="C2277" s="779">
        <v>2.5</v>
      </c>
      <c r="D2277" s="780" t="s">
        <v>245</v>
      </c>
      <c r="E2277" s="780" t="s">
        <v>82</v>
      </c>
      <c r="F2277" s="788">
        <v>53325</v>
      </c>
      <c r="G2277" s="788">
        <f t="shared" si="12"/>
        <v>133312.5</v>
      </c>
      <c r="H2277" s="789"/>
    </row>
    <row r="2278" spans="1:8" ht="15.6">
      <c r="A2278" s="790"/>
      <c r="B2278" s="969" t="s">
        <v>1588</v>
      </c>
      <c r="C2278" s="779">
        <v>1</v>
      </c>
      <c r="D2278" s="780" t="s">
        <v>44</v>
      </c>
      <c r="E2278" s="780" t="s">
        <v>82</v>
      </c>
      <c r="F2278" s="788">
        <v>1485000</v>
      </c>
      <c r="G2278" s="788">
        <f t="shared" si="12"/>
        <v>1485000</v>
      </c>
      <c r="H2278" s="789"/>
    </row>
    <row r="2279" spans="1:8" ht="15.6">
      <c r="A2279" s="790"/>
      <c r="B2279" s="969" t="s">
        <v>1589</v>
      </c>
      <c r="C2279" s="779">
        <v>1</v>
      </c>
      <c r="D2279" s="780" t="s">
        <v>44</v>
      </c>
      <c r="E2279" s="780" t="s">
        <v>82</v>
      </c>
      <c r="F2279" s="788">
        <v>1485000</v>
      </c>
      <c r="G2279" s="788">
        <f t="shared" si="12"/>
        <v>1485000</v>
      </c>
      <c r="H2279" s="789"/>
    </row>
    <row r="2280" spans="1:8" ht="15.6">
      <c r="A2280" s="790"/>
      <c r="B2280" s="969" t="s">
        <v>1590</v>
      </c>
      <c r="C2280" s="779">
        <v>1</v>
      </c>
      <c r="D2280" s="780" t="s">
        <v>21</v>
      </c>
      <c r="E2280" s="780" t="s">
        <v>51</v>
      </c>
      <c r="F2280" s="788">
        <v>300000</v>
      </c>
      <c r="G2280" s="788">
        <f t="shared" si="12"/>
        <v>300000</v>
      </c>
      <c r="H2280" s="789"/>
    </row>
    <row r="2281" spans="1:8" ht="15.6">
      <c r="A2281" s="790"/>
      <c r="B2281" s="969" t="s">
        <v>1591</v>
      </c>
      <c r="C2281" s="779">
        <v>1</v>
      </c>
      <c r="D2281" s="780" t="s">
        <v>44</v>
      </c>
      <c r="E2281" s="780" t="s">
        <v>82</v>
      </c>
      <c r="F2281" s="788">
        <v>683437.5</v>
      </c>
      <c r="G2281" s="788">
        <f t="shared" si="12"/>
        <v>683437.5</v>
      </c>
      <c r="H2281" s="789"/>
    </row>
    <row r="2282" spans="1:8" ht="15.6">
      <c r="A2282" s="790"/>
      <c r="B2282" s="969" t="s">
        <v>1602</v>
      </c>
      <c r="C2282" s="779">
        <v>1</v>
      </c>
      <c r="D2282" s="780" t="s">
        <v>44</v>
      </c>
      <c r="E2282" s="780" t="s">
        <v>51</v>
      </c>
      <c r="F2282" s="788">
        <v>750000</v>
      </c>
      <c r="G2282" s="788">
        <f t="shared" si="12"/>
        <v>750000</v>
      </c>
      <c r="H2282" s="789"/>
    </row>
    <row r="2283" spans="1:8" ht="15.6">
      <c r="A2283" s="790"/>
      <c r="B2283" s="969" t="s">
        <v>1592</v>
      </c>
      <c r="C2283" s="779">
        <v>1</v>
      </c>
      <c r="D2283" s="780" t="s">
        <v>44</v>
      </c>
      <c r="E2283" s="780" t="s">
        <v>51</v>
      </c>
      <c r="F2283" s="788">
        <v>500000</v>
      </c>
      <c r="G2283" s="788">
        <f t="shared" si="12"/>
        <v>500000</v>
      </c>
      <c r="H2283" s="789"/>
    </row>
    <row r="2284" spans="1:8" ht="15.6">
      <c r="A2284" s="790"/>
      <c r="B2284" s="969"/>
      <c r="C2284" s="779"/>
      <c r="D2284" s="780"/>
      <c r="E2284" s="780"/>
      <c r="F2284" s="788"/>
      <c r="G2284" s="788"/>
      <c r="H2284" s="789"/>
    </row>
    <row r="2285" spans="1:8" ht="15.6">
      <c r="A2285" s="790"/>
      <c r="B2285" s="777"/>
      <c r="C2285" s="788"/>
      <c r="D2285" s="780"/>
      <c r="E2285" s="780"/>
      <c r="F2285" s="788"/>
      <c r="G2285" s="788"/>
      <c r="H2285" s="789"/>
    </row>
    <row r="2286" spans="1:8" ht="15.6">
      <c r="A2286" s="793"/>
      <c r="B2286" s="783"/>
      <c r="C2286" s="794"/>
      <c r="D2286" s="795"/>
      <c r="E2286" s="811"/>
      <c r="F2286" s="811" t="s">
        <v>25</v>
      </c>
      <c r="G2286" s="813">
        <f>SUM(G2276:G2285)</f>
        <v>6408625</v>
      </c>
      <c r="H2286" s="810"/>
    </row>
    <row r="2287" spans="1:8" ht="15.6">
      <c r="A2287" s="820"/>
      <c r="B2287" s="821"/>
      <c r="C2287" s="822"/>
      <c r="D2287" s="822"/>
      <c r="E2287" s="823"/>
      <c r="F2287" s="819" t="s">
        <v>1151</v>
      </c>
      <c r="G2287" s="964">
        <f>G2286/10</f>
        <v>640862.5</v>
      </c>
      <c r="H2287" s="825"/>
    </row>
    <row r="2288" spans="1:8" ht="15.6">
      <c r="A2288" s="796"/>
      <c r="B2288" s="797"/>
      <c r="C2288" s="784"/>
      <c r="D2288" s="784"/>
      <c r="E2288" s="785"/>
      <c r="F2288" s="812"/>
      <c r="G2288" s="798"/>
      <c r="H2288" s="826">
        <f>G2286+G2287</f>
        <v>7049487.5</v>
      </c>
    </row>
    <row r="2289" spans="1:8" ht="15.6">
      <c r="A2289" s="820"/>
      <c r="B2289" s="821"/>
      <c r="C2289" s="822"/>
      <c r="D2289" s="822"/>
      <c r="E2289" s="823"/>
      <c r="F2289" s="819"/>
      <c r="G2289" s="824"/>
      <c r="H2289" s="827"/>
    </row>
    <row r="2290" spans="1:8" ht="15.6">
      <c r="A2290" s="799"/>
      <c r="B2290" s="800"/>
      <c r="C2290" s="800"/>
      <c r="D2290" s="800"/>
      <c r="E2290" s="800"/>
      <c r="F2290" s="801"/>
      <c r="G2290" s="828" t="s">
        <v>28</v>
      </c>
      <c r="H2290" s="775">
        <f>H2288+H2274</f>
        <v>15619319.5</v>
      </c>
    </row>
    <row r="2291" spans="1:8" ht="15.6">
      <c r="A2291" s="802"/>
      <c r="B2291" s="803"/>
      <c r="C2291" s="804"/>
      <c r="D2291" s="804"/>
      <c r="E2291" s="804"/>
      <c r="F2291" s="805"/>
      <c r="G2291" s="829" t="s">
        <v>30</v>
      </c>
      <c r="H2291" s="807">
        <f>ROUND(H2290,-2)</f>
        <v>15619300</v>
      </c>
    </row>
    <row r="2292" spans="1:8" ht="15.6">
      <c r="A2292" s="49"/>
      <c r="B2292" s="49"/>
      <c r="C2292" s="49"/>
      <c r="D2292" s="49"/>
      <c r="E2292" s="49"/>
      <c r="F2292" s="49"/>
      <c r="G2292" s="49"/>
      <c r="H2292" s="50"/>
    </row>
    <row r="2293" spans="1:8" ht="18">
      <c r="A2293" s="768" t="s">
        <v>1150</v>
      </c>
      <c r="B2293" s="49"/>
      <c r="C2293" s="49"/>
      <c r="D2293" s="49"/>
      <c r="E2293" s="49"/>
      <c r="F2293" s="49"/>
      <c r="G2293" s="49"/>
      <c r="H2293" s="50"/>
    </row>
    <row r="2294" spans="1:8" ht="17.399999999999999">
      <c r="A2294" s="49"/>
      <c r="B2294" s="965" t="s">
        <v>1746</v>
      </c>
      <c r="C2294" s="49"/>
      <c r="D2294" s="49"/>
      <c r="E2294" s="49"/>
      <c r="F2294" s="49"/>
      <c r="G2294" s="49"/>
      <c r="H2294" s="50"/>
    </row>
    <row r="2295" spans="1:8" ht="15.6">
      <c r="A2295" s="49"/>
      <c r="B2295" s="49"/>
      <c r="C2295" s="49"/>
      <c r="D2295" s="49"/>
      <c r="E2295" s="49"/>
      <c r="F2295" s="49"/>
      <c r="G2295" s="49"/>
      <c r="H2295" s="50"/>
    </row>
    <row r="2296" spans="1:8" ht="15.6">
      <c r="A2296" s="51"/>
      <c r="B2296" s="51"/>
      <c r="C2296" s="51"/>
      <c r="D2296" s="51"/>
      <c r="E2296" s="51"/>
      <c r="F2296" s="51"/>
      <c r="G2296" s="1509" t="s">
        <v>1747</v>
      </c>
      <c r="H2296" s="1509"/>
    </row>
    <row r="2297" spans="1:8" ht="15.6">
      <c r="A2297" s="1509" t="s">
        <v>31</v>
      </c>
      <c r="B2297" s="1509"/>
      <c r="C2297" s="1509" t="s">
        <v>32</v>
      </c>
      <c r="D2297" s="1509"/>
      <c r="E2297" s="1509"/>
      <c r="F2297" s="51"/>
      <c r="G2297" s="1509" t="s">
        <v>33</v>
      </c>
      <c r="H2297" s="1509"/>
    </row>
    <row r="2298" spans="1:8" ht="15.6">
      <c r="A2298" s="51"/>
      <c r="B2298" s="51"/>
      <c r="C2298" s="51"/>
      <c r="D2298" s="51"/>
      <c r="E2298" s="51"/>
      <c r="F2298" s="51"/>
      <c r="G2298" s="51"/>
      <c r="H2298" s="51"/>
    </row>
    <row r="2299" spans="1:8" ht="15.6">
      <c r="A2299" s="51"/>
      <c r="B2299" s="51"/>
      <c r="C2299" s="51"/>
      <c r="D2299" s="51"/>
      <c r="E2299" s="51"/>
      <c r="F2299" s="51"/>
      <c r="G2299" s="51"/>
      <c r="H2299" s="51"/>
    </row>
    <row r="2300" spans="1:8" ht="15.6">
      <c r="A2300" s="51"/>
      <c r="B2300" s="51"/>
      <c r="C2300" s="51"/>
      <c r="D2300" s="51"/>
      <c r="E2300" s="51"/>
      <c r="F2300" s="51"/>
      <c r="G2300" s="51"/>
      <c r="H2300" s="51"/>
    </row>
    <row r="2301" spans="1:8" ht="15.6">
      <c r="A2301" s="1512" t="s">
        <v>1605</v>
      </c>
      <c r="B2301" s="1512"/>
      <c r="C2301" s="1512" t="s">
        <v>1603</v>
      </c>
      <c r="D2301" s="1512"/>
      <c r="E2301" s="1512"/>
      <c r="F2301" s="51"/>
      <c r="G2301" s="1512" t="s">
        <v>1661</v>
      </c>
      <c r="H2301" s="1512"/>
    </row>
    <row r="2302" spans="1:8" ht="15.6">
      <c r="A2302" s="1509" t="s">
        <v>37</v>
      </c>
      <c r="B2302" s="1509"/>
      <c r="C2302" s="1509" t="s">
        <v>1604</v>
      </c>
      <c r="D2302" s="1509"/>
      <c r="E2302" s="1509"/>
      <c r="F2302" s="51"/>
      <c r="G2302" s="1509" t="s">
        <v>39</v>
      </c>
      <c r="H2302" s="1509"/>
    </row>
    <row r="2303" spans="1:8" ht="15.6">
      <c r="A2303" s="602"/>
      <c r="B2303" s="602"/>
      <c r="C2303" s="602"/>
      <c r="D2303" s="602"/>
      <c r="E2303" s="602"/>
      <c r="F2303" s="51"/>
      <c r="G2303" s="602"/>
      <c r="H2303" s="602"/>
    </row>
    <row r="2304" spans="1:8" ht="15.6">
      <c r="A2304" s="602"/>
      <c r="B2304" s="602"/>
      <c r="C2304" s="602"/>
      <c r="D2304" s="602"/>
      <c r="E2304" s="602"/>
      <c r="F2304" s="51"/>
      <c r="G2304" s="602"/>
      <c r="H2304" s="602"/>
    </row>
    <row r="2305" spans="1:8" ht="15.6">
      <c r="A2305" s="602"/>
      <c r="B2305" s="602"/>
      <c r="C2305" s="602"/>
      <c r="D2305" s="602"/>
      <c r="E2305" s="602"/>
      <c r="F2305" s="51"/>
      <c r="G2305" s="602"/>
      <c r="H2305" s="602"/>
    </row>
    <row r="2306" spans="1:8" ht="15.6">
      <c r="A2306" s="808"/>
      <c r="B2306" s="808"/>
      <c r="C2306" s="808"/>
      <c r="D2306" s="808"/>
      <c r="E2306" s="808"/>
      <c r="F2306" s="808"/>
      <c r="G2306" s="808"/>
      <c r="H2306" s="808"/>
    </row>
    <row r="2307" spans="1:8" ht="28.8">
      <c r="A2307" s="597"/>
      <c r="B2307" s="597"/>
      <c r="C2307" s="1513" t="s">
        <v>235</v>
      </c>
      <c r="D2307" s="1513"/>
      <c r="E2307" s="1513"/>
      <c r="F2307" s="1513"/>
      <c r="G2307" s="1513"/>
      <c r="H2307" s="1513"/>
    </row>
    <row r="2308" spans="1:8" ht="28.8">
      <c r="A2308" s="597"/>
      <c r="B2308" s="597"/>
      <c r="C2308" s="1541" t="s">
        <v>310</v>
      </c>
      <c r="D2308" s="1541"/>
      <c r="E2308" s="1541"/>
      <c r="F2308" s="1541"/>
      <c r="G2308" s="1541"/>
      <c r="H2308" s="1541"/>
    </row>
    <row r="2309" spans="1:8" ht="23.4">
      <c r="A2309" s="830"/>
      <c r="B2309" s="830"/>
      <c r="C2309" s="1537" t="s">
        <v>1078</v>
      </c>
      <c r="D2309" s="1537"/>
      <c r="E2309" s="1537"/>
      <c r="F2309" s="1537"/>
      <c r="G2309" s="1537"/>
      <c r="H2309" s="1537"/>
    </row>
    <row r="2310" spans="1:8" ht="15.6">
      <c r="A2310" s="769"/>
      <c r="B2310" s="769"/>
      <c r="C2310" s="769"/>
      <c r="D2310" s="769"/>
      <c r="E2310" s="769"/>
      <c r="F2310" s="769"/>
      <c r="G2310" s="769"/>
      <c r="H2310" s="769"/>
    </row>
    <row r="2311" spans="1:8" ht="15.6">
      <c r="A2311" s="769"/>
      <c r="B2311" s="769"/>
      <c r="C2311" s="769"/>
      <c r="D2311" s="769"/>
      <c r="E2311" s="769"/>
      <c r="F2311" s="769"/>
      <c r="G2311" s="769"/>
      <c r="H2311" s="769"/>
    </row>
    <row r="2312" spans="1:8" ht="15.6">
      <c r="A2312" s="1516" t="s">
        <v>3</v>
      </c>
      <c r="B2312" s="1516" t="s">
        <v>4</v>
      </c>
      <c r="C2312" s="1516" t="s">
        <v>5</v>
      </c>
      <c r="D2312" s="1516" t="s">
        <v>6</v>
      </c>
      <c r="E2312" s="1516" t="s">
        <v>7</v>
      </c>
      <c r="F2312" s="770" t="s">
        <v>8</v>
      </c>
      <c r="G2312" s="770" t="s">
        <v>9</v>
      </c>
      <c r="H2312" s="770" t="s">
        <v>10</v>
      </c>
    </row>
    <row r="2313" spans="1:8" ht="15.6">
      <c r="A2313" s="1517"/>
      <c r="B2313" s="1517"/>
      <c r="C2313" s="1517"/>
      <c r="D2313" s="1517"/>
      <c r="E2313" s="1517"/>
      <c r="F2313" s="771" t="s">
        <v>11</v>
      </c>
      <c r="G2313" s="771" t="s">
        <v>11</v>
      </c>
      <c r="H2313" s="771" t="s">
        <v>11</v>
      </c>
    </row>
    <row r="2314" spans="1:8" ht="15.6">
      <c r="A2314" s="770" t="s">
        <v>12</v>
      </c>
      <c r="B2314" s="772" t="s">
        <v>364</v>
      </c>
      <c r="C2314" s="773"/>
      <c r="D2314" s="774"/>
      <c r="E2314" s="774"/>
      <c r="F2314" s="774"/>
      <c r="G2314" s="775"/>
      <c r="H2314" s="776"/>
    </row>
    <row r="2315" spans="1:8" ht="15.6">
      <c r="A2315" s="786"/>
      <c r="B2315" s="969" t="s">
        <v>1541</v>
      </c>
      <c r="C2315" s="779">
        <v>6</v>
      </c>
      <c r="D2315" s="780" t="s">
        <v>132</v>
      </c>
      <c r="E2315" s="780" t="s">
        <v>197</v>
      </c>
      <c r="F2315" s="791" t="s">
        <v>126</v>
      </c>
      <c r="G2315" s="791" t="s">
        <v>126</v>
      </c>
      <c r="H2315" s="971"/>
    </row>
    <row r="2316" spans="1:8" ht="15.6">
      <c r="A2316" s="786"/>
      <c r="B2316" s="969" t="s">
        <v>1542</v>
      </c>
      <c r="C2316" s="779">
        <v>3</v>
      </c>
      <c r="D2316" s="780" t="s">
        <v>132</v>
      </c>
      <c r="E2316" s="780" t="s">
        <v>197</v>
      </c>
      <c r="F2316" s="780" t="s">
        <v>126</v>
      </c>
      <c r="G2316" s="986" t="s">
        <v>126</v>
      </c>
      <c r="H2316" s="971"/>
    </row>
    <row r="2317" spans="1:8" ht="15.6">
      <c r="A2317" s="786"/>
      <c r="B2317" s="969" t="s">
        <v>1543</v>
      </c>
      <c r="C2317" s="779">
        <v>2</v>
      </c>
      <c r="D2317" s="780" t="s">
        <v>44</v>
      </c>
      <c r="E2317" s="780" t="s">
        <v>197</v>
      </c>
      <c r="F2317" s="791" t="s">
        <v>126</v>
      </c>
      <c r="G2317" s="791" t="s">
        <v>126</v>
      </c>
      <c r="H2317" s="971"/>
    </row>
    <row r="2318" spans="1:8" ht="15.6">
      <c r="A2318" s="786"/>
      <c r="B2318" s="969" t="s">
        <v>1544</v>
      </c>
      <c r="C2318" s="779">
        <v>1</v>
      </c>
      <c r="D2318" s="780" t="s">
        <v>44</v>
      </c>
      <c r="E2318" s="780" t="s">
        <v>197</v>
      </c>
      <c r="F2318" s="780" t="s">
        <v>126</v>
      </c>
      <c r="G2318" s="986" t="s">
        <v>126</v>
      </c>
      <c r="H2318" s="971"/>
    </row>
    <row r="2319" spans="1:8" ht="15.6">
      <c r="A2319" s="786"/>
      <c r="B2319" s="969" t="s">
        <v>1545</v>
      </c>
      <c r="C2319" s="779">
        <v>2</v>
      </c>
      <c r="D2319" s="780" t="s">
        <v>44</v>
      </c>
      <c r="E2319" s="780" t="s">
        <v>197</v>
      </c>
      <c r="F2319" s="791" t="s">
        <v>126</v>
      </c>
      <c r="G2319" s="791" t="s">
        <v>126</v>
      </c>
      <c r="H2319" s="971"/>
    </row>
    <row r="2320" spans="1:8" ht="15.6">
      <c r="A2320" s="786"/>
      <c r="B2320" s="969" t="s">
        <v>1546</v>
      </c>
      <c r="C2320" s="779">
        <v>1</v>
      </c>
      <c r="D2320" s="780" t="s">
        <v>44</v>
      </c>
      <c r="E2320" s="780" t="s">
        <v>197</v>
      </c>
      <c r="F2320" s="791" t="s">
        <v>126</v>
      </c>
      <c r="G2320" s="791" t="s">
        <v>126</v>
      </c>
      <c r="H2320" s="971"/>
    </row>
    <row r="2321" spans="1:8" ht="15.6">
      <c r="A2321" s="786"/>
      <c r="B2321" s="969" t="s">
        <v>1547</v>
      </c>
      <c r="C2321" s="779">
        <v>3</v>
      </c>
      <c r="D2321" s="780" t="s">
        <v>44</v>
      </c>
      <c r="E2321" s="780" t="s">
        <v>16</v>
      </c>
      <c r="F2321" s="788">
        <v>75000</v>
      </c>
      <c r="G2321" s="788">
        <f>F2321*C2321</f>
        <v>225000</v>
      </c>
      <c r="H2321" s="971"/>
    </row>
    <row r="2322" spans="1:8" ht="15.6">
      <c r="A2322" s="786"/>
      <c r="B2322" s="969" t="s">
        <v>1548</v>
      </c>
      <c r="C2322" s="779">
        <v>1</v>
      </c>
      <c r="D2322" s="780" t="s">
        <v>44</v>
      </c>
      <c r="E2322" s="780" t="s">
        <v>51</v>
      </c>
      <c r="F2322" s="788">
        <v>150000</v>
      </c>
      <c r="G2322" s="788">
        <f>F2322*C2322</f>
        <v>150000</v>
      </c>
      <c r="H2322" s="971"/>
    </row>
    <row r="2323" spans="1:8" ht="15.6">
      <c r="A2323" s="814"/>
      <c r="B2323" s="806"/>
      <c r="C2323" s="815"/>
      <c r="D2323" s="816"/>
      <c r="E2323" s="816"/>
      <c r="F2323" s="817"/>
      <c r="G2323" s="817"/>
      <c r="H2323" s="818">
        <f>SUM(G2314:G2323)</f>
        <v>375000</v>
      </c>
    </row>
    <row r="2324" spans="1:8" ht="15.6">
      <c r="A2324" s="786" t="s">
        <v>18</v>
      </c>
      <c r="B2324" s="787" t="s">
        <v>19</v>
      </c>
      <c r="C2324" s="782"/>
      <c r="D2324" s="780"/>
      <c r="E2324" s="780"/>
      <c r="F2324" s="778"/>
      <c r="G2324" s="788"/>
      <c r="H2324" s="789"/>
    </row>
    <row r="2325" spans="1:8" ht="15.6">
      <c r="A2325" s="790"/>
      <c r="B2325" s="778" t="s">
        <v>1549</v>
      </c>
      <c r="C2325" s="779"/>
      <c r="D2325" s="791"/>
      <c r="E2325" s="780"/>
      <c r="F2325" s="789"/>
      <c r="G2325" s="788"/>
      <c r="H2325" s="789"/>
    </row>
    <row r="2326" spans="1:8" ht="15.6">
      <c r="A2326" s="790"/>
      <c r="B2326" s="969" t="s">
        <v>1550</v>
      </c>
      <c r="C2326" s="779">
        <v>1</v>
      </c>
      <c r="D2326" s="780" t="s">
        <v>69</v>
      </c>
      <c r="E2326" s="780" t="s">
        <v>51</v>
      </c>
      <c r="F2326" s="788">
        <v>750000</v>
      </c>
      <c r="G2326" s="788">
        <f t="shared" ref="G2326:G2331" si="13">F2326*C2326</f>
        <v>750000</v>
      </c>
      <c r="H2326" s="789"/>
    </row>
    <row r="2327" spans="1:8" ht="15.6">
      <c r="A2327" s="790"/>
      <c r="B2327" s="969" t="s">
        <v>1551</v>
      </c>
      <c r="C2327" s="779">
        <v>1</v>
      </c>
      <c r="D2327" s="780" t="s">
        <v>69</v>
      </c>
      <c r="E2327" s="780" t="s">
        <v>51</v>
      </c>
      <c r="F2327" s="788">
        <v>350000</v>
      </c>
      <c r="G2327" s="788">
        <f t="shared" si="13"/>
        <v>350000</v>
      </c>
      <c r="H2327" s="789"/>
    </row>
    <row r="2328" spans="1:8" ht="15.6">
      <c r="A2328" s="790"/>
      <c r="B2328" s="969" t="s">
        <v>1552</v>
      </c>
      <c r="C2328" s="779">
        <v>1</v>
      </c>
      <c r="D2328" s="780" t="s">
        <v>21</v>
      </c>
      <c r="E2328" s="780" t="s">
        <v>51</v>
      </c>
      <c r="F2328" s="788">
        <v>300000</v>
      </c>
      <c r="G2328" s="788">
        <f t="shared" si="13"/>
        <v>300000</v>
      </c>
      <c r="H2328" s="789"/>
    </row>
    <row r="2329" spans="1:8" ht="15.6">
      <c r="A2329" s="790"/>
      <c r="B2329" s="969" t="s">
        <v>1553</v>
      </c>
      <c r="C2329" s="779">
        <v>1</v>
      </c>
      <c r="D2329" s="780" t="s">
        <v>21</v>
      </c>
      <c r="E2329" s="780" t="s">
        <v>51</v>
      </c>
      <c r="F2329" s="788">
        <v>500000</v>
      </c>
      <c r="G2329" s="788">
        <f t="shared" si="13"/>
        <v>500000</v>
      </c>
      <c r="H2329" s="789"/>
    </row>
    <row r="2330" spans="1:8" ht="15.6">
      <c r="A2330" s="790"/>
      <c r="B2330" s="969" t="s">
        <v>1554</v>
      </c>
      <c r="C2330" s="779">
        <v>2</v>
      </c>
      <c r="D2330" s="780" t="s">
        <v>21</v>
      </c>
      <c r="E2330" s="780" t="s">
        <v>51</v>
      </c>
      <c r="F2330" s="788">
        <v>1500000</v>
      </c>
      <c r="G2330" s="788">
        <f t="shared" si="13"/>
        <v>3000000</v>
      </c>
      <c r="H2330" s="789"/>
    </row>
    <row r="2331" spans="1:8" ht="15.6">
      <c r="A2331" s="790"/>
      <c r="B2331" s="969" t="s">
        <v>1555</v>
      </c>
      <c r="C2331" s="779">
        <v>1</v>
      </c>
      <c r="D2331" s="780" t="s">
        <v>21</v>
      </c>
      <c r="E2331" s="780" t="s">
        <v>51</v>
      </c>
      <c r="F2331" s="788">
        <v>1950000</v>
      </c>
      <c r="G2331" s="788">
        <f t="shared" si="13"/>
        <v>1950000</v>
      </c>
      <c r="H2331" s="789"/>
    </row>
    <row r="2332" spans="1:8" ht="15.6">
      <c r="A2332" s="790"/>
      <c r="B2332" s="969"/>
      <c r="C2332" s="779"/>
      <c r="D2332" s="780"/>
      <c r="E2332" s="780"/>
      <c r="F2332" s="788"/>
      <c r="G2332" s="788"/>
      <c r="H2332" s="789"/>
    </row>
    <row r="2333" spans="1:8" ht="15.6">
      <c r="A2333" s="790"/>
      <c r="B2333" s="778" t="s">
        <v>1575</v>
      </c>
      <c r="C2333" s="779"/>
      <c r="D2333" s="780"/>
      <c r="E2333" s="780"/>
      <c r="F2333" s="788"/>
      <c r="G2333" s="788"/>
      <c r="H2333" s="789"/>
    </row>
    <row r="2334" spans="1:8" ht="15.6">
      <c r="A2334" s="790"/>
      <c r="B2334" s="969" t="s">
        <v>1621</v>
      </c>
      <c r="C2334" s="779">
        <v>570</v>
      </c>
      <c r="D2334" s="780" t="s">
        <v>81</v>
      </c>
      <c r="E2334" s="780" t="s">
        <v>82</v>
      </c>
      <c r="F2334" s="788">
        <v>4786.5</v>
      </c>
      <c r="G2334" s="788">
        <f>F2334*C2334</f>
        <v>2728305</v>
      </c>
      <c r="H2334" s="789"/>
    </row>
    <row r="2335" spans="1:8" ht="15.6">
      <c r="A2335" s="790"/>
      <c r="B2335" s="969" t="s">
        <v>1558</v>
      </c>
      <c r="C2335" s="779">
        <v>1392</v>
      </c>
      <c r="D2335" s="780" t="s">
        <v>84</v>
      </c>
      <c r="E2335" s="780" t="s">
        <v>82</v>
      </c>
      <c r="F2335" s="788">
        <v>3200.16</v>
      </c>
      <c r="G2335" s="788">
        <f>F2335*C2335</f>
        <v>4454622.72</v>
      </c>
      <c r="H2335" s="789"/>
    </row>
    <row r="2336" spans="1:8" ht="15.6">
      <c r="A2336" s="790"/>
      <c r="B2336" s="969" t="s">
        <v>1559</v>
      </c>
      <c r="C2336" s="779">
        <v>1140</v>
      </c>
      <c r="D2336" s="780" t="s">
        <v>84</v>
      </c>
      <c r="E2336" s="780" t="s">
        <v>82</v>
      </c>
      <c r="F2336" s="788">
        <v>3200.16</v>
      </c>
      <c r="G2336" s="788">
        <f>F2336*C2336</f>
        <v>3648182.4</v>
      </c>
      <c r="H2336" s="789"/>
    </row>
    <row r="2337" spans="1:8" ht="15.6">
      <c r="A2337" s="790"/>
      <c r="B2337" s="969" t="s">
        <v>1624</v>
      </c>
      <c r="C2337" s="779">
        <v>136.80000000000001</v>
      </c>
      <c r="D2337" s="780" t="s">
        <v>81</v>
      </c>
      <c r="E2337" s="780" t="s">
        <v>87</v>
      </c>
      <c r="F2337" s="788">
        <v>51729.21</v>
      </c>
      <c r="G2337" s="788">
        <f>F2337*C2337</f>
        <v>7076555.9280000003</v>
      </c>
      <c r="H2337" s="789"/>
    </row>
    <row r="2338" spans="1:8" ht="15.6">
      <c r="A2338" s="790"/>
      <c r="B2338" s="969"/>
      <c r="C2338" s="779"/>
      <c r="D2338" s="780"/>
      <c r="E2338" s="780"/>
      <c r="F2338" s="788"/>
      <c r="G2338" s="788"/>
      <c r="H2338" s="789"/>
    </row>
    <row r="2339" spans="1:8" ht="15.6">
      <c r="A2339" s="790"/>
      <c r="B2339" s="778" t="s">
        <v>1560</v>
      </c>
      <c r="C2339" s="779">
        <v>162</v>
      </c>
      <c r="D2339" s="780" t="s">
        <v>245</v>
      </c>
      <c r="E2339" s="780" t="s">
        <v>51</v>
      </c>
      <c r="F2339" s="788">
        <v>7500</v>
      </c>
      <c r="G2339" s="788">
        <f>F2339*C2339</f>
        <v>1215000</v>
      </c>
      <c r="H2339" s="789"/>
    </row>
    <row r="2340" spans="1:8" ht="15.6">
      <c r="A2340" s="790"/>
      <c r="B2340" s="777"/>
      <c r="C2340" s="788"/>
      <c r="D2340" s="780"/>
      <c r="E2340" s="780"/>
      <c r="F2340" s="788"/>
      <c r="G2340" s="788"/>
      <c r="H2340" s="789"/>
    </row>
    <row r="2341" spans="1:8" ht="15.6">
      <c r="A2341" s="793"/>
      <c r="B2341" s="783"/>
      <c r="C2341" s="794"/>
      <c r="D2341" s="795"/>
      <c r="E2341" s="811"/>
      <c r="F2341" s="811" t="s">
        <v>25</v>
      </c>
      <c r="G2341" s="813">
        <f>SUM(G2325:G2340)</f>
        <v>25972666.047999997</v>
      </c>
      <c r="H2341" s="810"/>
    </row>
    <row r="2342" spans="1:8" ht="15.6">
      <c r="A2342" s="820"/>
      <c r="B2342" s="821"/>
      <c r="C2342" s="822"/>
      <c r="D2342" s="822"/>
      <c r="E2342" s="823"/>
      <c r="F2342" s="819" t="s">
        <v>1151</v>
      </c>
      <c r="G2342" s="964">
        <f>G2341/10</f>
        <v>2597266.6047999999</v>
      </c>
      <c r="H2342" s="825"/>
    </row>
    <row r="2343" spans="1:8" ht="15.6">
      <c r="A2343" s="796"/>
      <c r="B2343" s="797"/>
      <c r="C2343" s="784"/>
      <c r="D2343" s="784"/>
      <c r="E2343" s="785"/>
      <c r="F2343" s="812"/>
      <c r="G2343" s="798"/>
      <c r="H2343" s="826">
        <f>G2341+G2342</f>
        <v>28569932.652799997</v>
      </c>
    </row>
    <row r="2344" spans="1:8" ht="15.6">
      <c r="A2344" s="820"/>
      <c r="B2344" s="821"/>
      <c r="C2344" s="822"/>
      <c r="D2344" s="822"/>
      <c r="E2344" s="823"/>
      <c r="F2344" s="819"/>
      <c r="G2344" s="824"/>
      <c r="H2344" s="827"/>
    </row>
    <row r="2345" spans="1:8" ht="15.6">
      <c r="A2345" s="799"/>
      <c r="B2345" s="800"/>
      <c r="C2345" s="800"/>
      <c r="D2345" s="800"/>
      <c r="E2345" s="800"/>
      <c r="F2345" s="801"/>
      <c r="G2345" s="828" t="s">
        <v>28</v>
      </c>
      <c r="H2345" s="775">
        <f>H2343+H2323</f>
        <v>28944932.652799997</v>
      </c>
    </row>
    <row r="2346" spans="1:8" ht="15.6">
      <c r="A2346" s="802"/>
      <c r="B2346" s="803"/>
      <c r="C2346" s="804"/>
      <c r="D2346" s="804"/>
      <c r="E2346" s="804"/>
      <c r="F2346" s="805"/>
      <c r="G2346" s="829" t="s">
        <v>30</v>
      </c>
      <c r="H2346" s="807">
        <f>ROUND(H2345,-3)</f>
        <v>28945000</v>
      </c>
    </row>
    <row r="2347" spans="1:8" ht="15.6">
      <c r="A2347" s="49"/>
      <c r="B2347" s="49"/>
      <c r="C2347" s="49"/>
      <c r="D2347" s="49"/>
      <c r="E2347" s="49"/>
      <c r="F2347" s="49"/>
      <c r="G2347" s="49"/>
      <c r="H2347" s="50"/>
    </row>
    <row r="2348" spans="1:8" ht="18">
      <c r="A2348" s="768" t="s">
        <v>1150</v>
      </c>
      <c r="B2348" s="49"/>
      <c r="C2348" s="49"/>
      <c r="D2348" s="49"/>
      <c r="E2348" s="49"/>
      <c r="F2348" s="49"/>
      <c r="G2348" s="49"/>
      <c r="H2348" s="50"/>
    </row>
    <row r="2349" spans="1:8" ht="17.399999999999999">
      <c r="A2349" s="49"/>
      <c r="B2349" s="965" t="s">
        <v>1623</v>
      </c>
      <c r="C2349" s="49"/>
      <c r="D2349" s="49"/>
      <c r="E2349" s="49"/>
      <c r="F2349" s="49"/>
      <c r="G2349" s="49"/>
      <c r="H2349" s="50"/>
    </row>
    <row r="2350" spans="1:8" ht="15.6">
      <c r="A2350" s="49"/>
      <c r="B2350" s="49"/>
      <c r="C2350" s="49"/>
      <c r="D2350" s="49"/>
      <c r="E2350" s="49"/>
      <c r="F2350" s="49"/>
      <c r="G2350" s="49"/>
      <c r="H2350" s="50"/>
    </row>
    <row r="2351" spans="1:8" ht="15.6">
      <c r="A2351" s="51"/>
      <c r="B2351" s="51"/>
      <c r="C2351" s="51"/>
      <c r="D2351" s="51"/>
      <c r="E2351" s="51"/>
      <c r="F2351" s="51"/>
      <c r="G2351" s="1509" t="s">
        <v>1625</v>
      </c>
      <c r="H2351" s="1509"/>
    </row>
    <row r="2352" spans="1:8" ht="15.6">
      <c r="A2352" s="1509" t="s">
        <v>31</v>
      </c>
      <c r="B2352" s="1509"/>
      <c r="C2352" s="1509" t="s">
        <v>32</v>
      </c>
      <c r="D2352" s="1509"/>
      <c r="E2352" s="1509"/>
      <c r="F2352" s="51"/>
      <c r="G2352" s="1509" t="s">
        <v>33</v>
      </c>
      <c r="H2352" s="1509"/>
    </row>
    <row r="2353" spans="1:8" ht="15.6">
      <c r="A2353" s="51"/>
      <c r="B2353" s="51"/>
      <c r="C2353" s="51"/>
      <c r="D2353" s="51"/>
      <c r="E2353" s="51"/>
      <c r="F2353" s="51"/>
      <c r="G2353" s="51"/>
      <c r="H2353" s="51"/>
    </row>
    <row r="2354" spans="1:8" ht="15.6">
      <c r="A2354" s="51"/>
      <c r="B2354" s="51"/>
      <c r="C2354" s="51"/>
      <c r="D2354" s="51"/>
      <c r="E2354" s="51"/>
      <c r="F2354" s="51"/>
      <c r="G2354" s="51"/>
      <c r="H2354" s="51"/>
    </row>
    <row r="2355" spans="1:8" ht="15.6">
      <c r="A2355" s="51"/>
      <c r="B2355" s="51"/>
      <c r="C2355" s="51"/>
      <c r="D2355" s="51"/>
      <c r="E2355" s="51"/>
      <c r="F2355" s="51"/>
      <c r="G2355" s="51"/>
      <c r="H2355" s="51"/>
    </row>
    <row r="2356" spans="1:8" ht="15.6">
      <c r="A2356" s="1512" t="s">
        <v>1622</v>
      </c>
      <c r="B2356" s="1512"/>
      <c r="C2356" s="1512" t="s">
        <v>1603</v>
      </c>
      <c r="D2356" s="1512"/>
      <c r="E2356" s="1512"/>
      <c r="F2356" s="51"/>
      <c r="G2356" s="1512" t="s">
        <v>36</v>
      </c>
      <c r="H2356" s="1512"/>
    </row>
    <row r="2357" spans="1:8" ht="15.6">
      <c r="A2357" s="1509" t="s">
        <v>37</v>
      </c>
      <c r="B2357" s="1509"/>
      <c r="C2357" s="1509" t="s">
        <v>1604</v>
      </c>
      <c r="D2357" s="1509"/>
      <c r="E2357" s="1509"/>
      <c r="F2357" s="51"/>
      <c r="G2357" s="1509" t="s">
        <v>39</v>
      </c>
      <c r="H2357" s="1509"/>
    </row>
    <row r="2358" spans="1:8" ht="15.6">
      <c r="A2358" s="808"/>
      <c r="B2358" s="808"/>
      <c r="C2358" s="808"/>
      <c r="D2358" s="808"/>
      <c r="E2358" s="808"/>
      <c r="F2358" s="808"/>
      <c r="G2358" s="808"/>
      <c r="H2358" s="808"/>
    </row>
    <row r="2359" spans="1:8" ht="28.8">
      <c r="A2359" s="597"/>
      <c r="B2359" s="597"/>
      <c r="C2359" s="1513" t="s">
        <v>235</v>
      </c>
      <c r="D2359" s="1513"/>
      <c r="E2359" s="1513"/>
      <c r="F2359" s="1513"/>
      <c r="G2359" s="1513"/>
      <c r="H2359" s="1513"/>
    </row>
    <row r="2360" spans="1:8" ht="28.8">
      <c r="A2360" s="597"/>
      <c r="B2360" s="597"/>
      <c r="C2360" s="1541" t="s">
        <v>310</v>
      </c>
      <c r="D2360" s="1541"/>
      <c r="E2360" s="1541"/>
      <c r="F2360" s="1541"/>
      <c r="G2360" s="1541"/>
      <c r="H2360" s="1541"/>
    </row>
    <row r="2361" spans="1:8" ht="23.4">
      <c r="A2361" s="830"/>
      <c r="B2361" s="830"/>
      <c r="C2361" s="1537" t="s">
        <v>1302</v>
      </c>
      <c r="D2361" s="1537"/>
      <c r="E2361" s="1537"/>
      <c r="F2361" s="1537"/>
      <c r="G2361" s="1537"/>
      <c r="H2361" s="1537"/>
    </row>
    <row r="2362" spans="1:8" ht="15.6">
      <c r="A2362" s="769"/>
      <c r="B2362" s="769"/>
      <c r="C2362" s="769"/>
      <c r="D2362" s="769"/>
      <c r="E2362" s="769"/>
      <c r="F2362" s="769"/>
      <c r="G2362" s="769"/>
      <c r="H2362" s="769"/>
    </row>
    <row r="2363" spans="1:8" ht="15.6">
      <c r="A2363" s="769"/>
      <c r="B2363" s="769"/>
      <c r="C2363" s="769"/>
      <c r="D2363" s="769"/>
      <c r="E2363" s="769"/>
      <c r="F2363" s="769"/>
      <c r="G2363" s="769"/>
      <c r="H2363" s="769"/>
    </row>
    <row r="2364" spans="1:8" ht="15.6">
      <c r="A2364" s="1516" t="s">
        <v>3</v>
      </c>
      <c r="B2364" s="1516" t="s">
        <v>4</v>
      </c>
      <c r="C2364" s="1516" t="s">
        <v>5</v>
      </c>
      <c r="D2364" s="1516" t="s">
        <v>6</v>
      </c>
      <c r="E2364" s="1516" t="s">
        <v>7</v>
      </c>
      <c r="F2364" s="770" t="s">
        <v>8</v>
      </c>
      <c r="G2364" s="770" t="s">
        <v>9</v>
      </c>
      <c r="H2364" s="770" t="s">
        <v>10</v>
      </c>
    </row>
    <row r="2365" spans="1:8" ht="15.6">
      <c r="A2365" s="1517"/>
      <c r="B2365" s="1517"/>
      <c r="C2365" s="1517"/>
      <c r="D2365" s="1517"/>
      <c r="E2365" s="1517"/>
      <c r="F2365" s="771" t="s">
        <v>11</v>
      </c>
      <c r="G2365" s="771" t="s">
        <v>11</v>
      </c>
      <c r="H2365" s="771" t="s">
        <v>11</v>
      </c>
    </row>
    <row r="2366" spans="1:8" ht="15.6">
      <c r="A2366" s="770" t="s">
        <v>12</v>
      </c>
      <c r="B2366" s="772" t="s">
        <v>364</v>
      </c>
      <c r="C2366" s="773"/>
      <c r="D2366" s="774"/>
      <c r="E2366" s="774"/>
      <c r="F2366" s="774"/>
      <c r="G2366" s="775"/>
      <c r="H2366" s="776"/>
    </row>
    <row r="2367" spans="1:8" ht="15.6">
      <c r="A2367" s="786"/>
      <c r="B2367" s="969" t="s">
        <v>1541</v>
      </c>
      <c r="C2367" s="779">
        <v>6</v>
      </c>
      <c r="D2367" s="780" t="s">
        <v>132</v>
      </c>
      <c r="E2367" s="780" t="s">
        <v>197</v>
      </c>
      <c r="F2367" s="791" t="s">
        <v>126</v>
      </c>
      <c r="G2367" s="791" t="s">
        <v>126</v>
      </c>
      <c r="H2367" s="971"/>
    </row>
    <row r="2368" spans="1:8" ht="15.6">
      <c r="A2368" s="786"/>
      <c r="B2368" s="969" t="s">
        <v>1542</v>
      </c>
      <c r="C2368" s="779">
        <v>3</v>
      </c>
      <c r="D2368" s="780" t="s">
        <v>132</v>
      </c>
      <c r="E2368" s="780" t="s">
        <v>197</v>
      </c>
      <c r="F2368" s="780" t="s">
        <v>126</v>
      </c>
      <c r="G2368" s="986" t="s">
        <v>126</v>
      </c>
      <c r="H2368" s="971"/>
    </row>
    <row r="2369" spans="1:8" ht="15.6">
      <c r="A2369" s="786"/>
      <c r="B2369" s="969" t="s">
        <v>1543</v>
      </c>
      <c r="C2369" s="779">
        <v>2</v>
      </c>
      <c r="D2369" s="780" t="s">
        <v>44</v>
      </c>
      <c r="E2369" s="780" t="s">
        <v>197</v>
      </c>
      <c r="F2369" s="791" t="s">
        <v>126</v>
      </c>
      <c r="G2369" s="791" t="s">
        <v>126</v>
      </c>
      <c r="H2369" s="971"/>
    </row>
    <row r="2370" spans="1:8" ht="15.6">
      <c r="A2370" s="786"/>
      <c r="B2370" s="969" t="s">
        <v>1544</v>
      </c>
      <c r="C2370" s="779">
        <v>1</v>
      </c>
      <c r="D2370" s="780" t="s">
        <v>44</v>
      </c>
      <c r="E2370" s="780" t="s">
        <v>197</v>
      </c>
      <c r="F2370" s="780" t="s">
        <v>126</v>
      </c>
      <c r="G2370" s="986" t="s">
        <v>126</v>
      </c>
      <c r="H2370" s="971"/>
    </row>
    <row r="2371" spans="1:8" ht="15.6">
      <c r="A2371" s="786"/>
      <c r="B2371" s="969" t="s">
        <v>1545</v>
      </c>
      <c r="C2371" s="779">
        <v>2</v>
      </c>
      <c r="D2371" s="780" t="s">
        <v>44</v>
      </c>
      <c r="E2371" s="780" t="s">
        <v>197</v>
      </c>
      <c r="F2371" s="791" t="s">
        <v>126</v>
      </c>
      <c r="G2371" s="791" t="s">
        <v>126</v>
      </c>
      <c r="H2371" s="971"/>
    </row>
    <row r="2372" spans="1:8" ht="15.6">
      <c r="A2372" s="786"/>
      <c r="B2372" s="969" t="s">
        <v>1546</v>
      </c>
      <c r="C2372" s="779">
        <v>1</v>
      </c>
      <c r="D2372" s="780" t="s">
        <v>44</v>
      </c>
      <c r="E2372" s="780" t="s">
        <v>197</v>
      </c>
      <c r="F2372" s="791" t="s">
        <v>126</v>
      </c>
      <c r="G2372" s="791" t="s">
        <v>126</v>
      </c>
      <c r="H2372" s="971"/>
    </row>
    <row r="2373" spans="1:8" ht="15.6">
      <c r="A2373" s="786"/>
      <c r="B2373" s="969" t="s">
        <v>1547</v>
      </c>
      <c r="C2373" s="779">
        <v>3</v>
      </c>
      <c r="D2373" s="780" t="s">
        <v>44</v>
      </c>
      <c r="E2373" s="780" t="s">
        <v>16</v>
      </c>
      <c r="F2373" s="788">
        <v>75000</v>
      </c>
      <c r="G2373" s="788">
        <f>F2373*C2373</f>
        <v>225000</v>
      </c>
      <c r="H2373" s="971"/>
    </row>
    <row r="2374" spans="1:8" ht="15.6">
      <c r="A2374" s="786"/>
      <c r="B2374" s="969" t="s">
        <v>1548</v>
      </c>
      <c r="C2374" s="779">
        <v>1</v>
      </c>
      <c r="D2374" s="780" t="s">
        <v>44</v>
      </c>
      <c r="E2374" s="780" t="s">
        <v>51</v>
      </c>
      <c r="F2374" s="788">
        <v>150000</v>
      </c>
      <c r="G2374" s="788">
        <f>F2374*C2374</f>
        <v>150000</v>
      </c>
      <c r="H2374" s="971"/>
    </row>
    <row r="2375" spans="1:8" ht="15.6">
      <c r="A2375" s="814"/>
      <c r="B2375" s="806"/>
      <c r="C2375" s="815"/>
      <c r="D2375" s="816"/>
      <c r="E2375" s="816"/>
      <c r="F2375" s="817"/>
      <c r="G2375" s="817"/>
      <c r="H2375" s="818">
        <f>SUM(G2366:G2375)</f>
        <v>375000</v>
      </c>
    </row>
    <row r="2376" spans="1:8" ht="15.6">
      <c r="A2376" s="786" t="s">
        <v>18</v>
      </c>
      <c r="B2376" s="787" t="s">
        <v>19</v>
      </c>
      <c r="C2376" s="782"/>
      <c r="D2376" s="780"/>
      <c r="E2376" s="780"/>
      <c r="F2376" s="778"/>
      <c r="G2376" s="788"/>
      <c r="H2376" s="789"/>
    </row>
    <row r="2377" spans="1:8" ht="15.6">
      <c r="A2377" s="790"/>
      <c r="B2377" s="778" t="s">
        <v>1549</v>
      </c>
      <c r="C2377" s="779"/>
      <c r="D2377" s="791"/>
      <c r="E2377" s="780"/>
      <c r="F2377" s="789"/>
      <c r="G2377" s="788"/>
      <c r="H2377" s="789"/>
    </row>
    <row r="2378" spans="1:8" ht="15.6">
      <c r="A2378" s="790"/>
      <c r="B2378" s="969" t="s">
        <v>1550</v>
      </c>
      <c r="C2378" s="779">
        <v>1</v>
      </c>
      <c r="D2378" s="780" t="s">
        <v>69</v>
      </c>
      <c r="E2378" s="780" t="s">
        <v>51</v>
      </c>
      <c r="F2378" s="788">
        <v>350000</v>
      </c>
      <c r="G2378" s="788">
        <f t="shared" ref="G2378:G2383" si="14">F2378*C2378</f>
        <v>350000</v>
      </c>
      <c r="H2378" s="789"/>
    </row>
    <row r="2379" spans="1:8" ht="15.6">
      <c r="A2379" s="790"/>
      <c r="B2379" s="969" t="s">
        <v>1551</v>
      </c>
      <c r="C2379" s="779">
        <v>1</v>
      </c>
      <c r="D2379" s="780" t="s">
        <v>69</v>
      </c>
      <c r="E2379" s="780" t="s">
        <v>51</v>
      </c>
      <c r="F2379" s="788">
        <v>350000</v>
      </c>
      <c r="G2379" s="788">
        <f t="shared" si="14"/>
        <v>350000</v>
      </c>
      <c r="H2379" s="789"/>
    </row>
    <row r="2380" spans="1:8" ht="15.6">
      <c r="A2380" s="790"/>
      <c r="B2380" s="969" t="s">
        <v>1552</v>
      </c>
      <c r="C2380" s="779">
        <v>2</v>
      </c>
      <c r="D2380" s="780" t="s">
        <v>21</v>
      </c>
      <c r="E2380" s="780" t="s">
        <v>51</v>
      </c>
      <c r="F2380" s="788">
        <v>300000</v>
      </c>
      <c r="G2380" s="788">
        <f t="shared" si="14"/>
        <v>600000</v>
      </c>
      <c r="H2380" s="789"/>
    </row>
    <row r="2381" spans="1:8" ht="15.6">
      <c r="A2381" s="790"/>
      <c r="B2381" s="969" t="s">
        <v>1553</v>
      </c>
      <c r="C2381" s="779">
        <v>1</v>
      </c>
      <c r="D2381" s="780" t="s">
        <v>21</v>
      </c>
      <c r="E2381" s="780" t="s">
        <v>51</v>
      </c>
      <c r="F2381" s="788">
        <v>500000</v>
      </c>
      <c r="G2381" s="788">
        <f t="shared" si="14"/>
        <v>500000</v>
      </c>
      <c r="H2381" s="789"/>
    </row>
    <row r="2382" spans="1:8" ht="15.6">
      <c r="A2382" s="790"/>
      <c r="B2382" s="969" t="s">
        <v>1554</v>
      </c>
      <c r="C2382" s="779">
        <v>2</v>
      </c>
      <c r="D2382" s="780" t="s">
        <v>21</v>
      </c>
      <c r="E2382" s="780" t="s">
        <v>51</v>
      </c>
      <c r="F2382" s="788">
        <v>1500000</v>
      </c>
      <c r="G2382" s="788">
        <f t="shared" si="14"/>
        <v>3000000</v>
      </c>
      <c r="H2382" s="789"/>
    </row>
    <row r="2383" spans="1:8" ht="15.6">
      <c r="A2383" s="790"/>
      <c r="B2383" s="969" t="s">
        <v>1555</v>
      </c>
      <c r="C2383" s="779">
        <v>1</v>
      </c>
      <c r="D2383" s="780" t="s">
        <v>21</v>
      </c>
      <c r="E2383" s="780" t="s">
        <v>51</v>
      </c>
      <c r="F2383" s="788">
        <v>1950000</v>
      </c>
      <c r="G2383" s="788">
        <f t="shared" si="14"/>
        <v>1950000</v>
      </c>
      <c r="H2383" s="789"/>
    </row>
    <row r="2384" spans="1:8" ht="15.6">
      <c r="A2384" s="790"/>
      <c r="B2384" s="969"/>
      <c r="C2384" s="779"/>
      <c r="D2384" s="780"/>
      <c r="E2384" s="780"/>
      <c r="F2384" s="788"/>
      <c r="G2384" s="788"/>
      <c r="H2384" s="789"/>
    </row>
    <row r="2385" spans="1:8" ht="15.6">
      <c r="A2385" s="790"/>
      <c r="B2385" s="778" t="s">
        <v>1556</v>
      </c>
      <c r="C2385" s="779"/>
      <c r="D2385" s="780"/>
      <c r="E2385" s="780"/>
      <c r="F2385" s="788"/>
      <c r="G2385" s="788"/>
      <c r="H2385" s="789"/>
    </row>
    <row r="2386" spans="1:8" ht="15.6">
      <c r="A2386" s="790"/>
      <c r="B2386" s="969" t="s">
        <v>1557</v>
      </c>
      <c r="C2386" s="779">
        <v>304</v>
      </c>
      <c r="D2386" s="780" t="s">
        <v>81</v>
      </c>
      <c r="E2386" s="780" t="s">
        <v>82</v>
      </c>
      <c r="F2386" s="788">
        <v>4786.5</v>
      </c>
      <c r="G2386" s="788">
        <f>F2386*C2386</f>
        <v>1455096</v>
      </c>
      <c r="H2386" s="789"/>
    </row>
    <row r="2387" spans="1:8" ht="15.6">
      <c r="A2387" s="790"/>
      <c r="B2387" s="969" t="s">
        <v>1558</v>
      </c>
      <c r="C2387" s="779">
        <v>1160</v>
      </c>
      <c r="D2387" s="780" t="s">
        <v>84</v>
      </c>
      <c r="E2387" s="780" t="s">
        <v>82</v>
      </c>
      <c r="F2387" s="788">
        <v>3200.16</v>
      </c>
      <c r="G2387" s="788">
        <f>F2387*C2387</f>
        <v>3712185.5999999996</v>
      </c>
      <c r="H2387" s="789"/>
    </row>
    <row r="2388" spans="1:8" ht="15.6">
      <c r="A2388" s="790"/>
      <c r="B2388" s="969" t="s">
        <v>1559</v>
      </c>
      <c r="C2388" s="779">
        <v>840</v>
      </c>
      <c r="D2388" s="780" t="s">
        <v>84</v>
      </c>
      <c r="E2388" s="780" t="s">
        <v>82</v>
      </c>
      <c r="F2388" s="788">
        <v>3200.16</v>
      </c>
      <c r="G2388" s="788">
        <f>F2388*C2388</f>
        <v>2688134.4</v>
      </c>
      <c r="H2388" s="789"/>
    </row>
    <row r="2389" spans="1:8" ht="15.6">
      <c r="A2389" s="790"/>
      <c r="B2389" s="969" t="s">
        <v>1561</v>
      </c>
      <c r="C2389" s="779">
        <v>126</v>
      </c>
      <c r="D2389" s="780" t="s">
        <v>81</v>
      </c>
      <c r="E2389" s="780" t="s">
        <v>87</v>
      </c>
      <c r="F2389" s="788">
        <v>51729.21</v>
      </c>
      <c r="G2389" s="788">
        <f>F2389*C2389</f>
        <v>6517880.46</v>
      </c>
      <c r="H2389" s="789"/>
    </row>
    <row r="2390" spans="1:8" ht="15.6">
      <c r="A2390" s="790"/>
      <c r="B2390" s="969"/>
      <c r="C2390" s="779"/>
      <c r="D2390" s="780"/>
      <c r="E2390" s="780"/>
      <c r="F2390" s="788"/>
      <c r="G2390" s="788"/>
      <c r="H2390" s="789"/>
    </row>
    <row r="2391" spans="1:8" ht="15.6">
      <c r="A2391" s="790"/>
      <c r="B2391" s="778" t="s">
        <v>1560</v>
      </c>
      <c r="C2391" s="779">
        <v>60</v>
      </c>
      <c r="D2391" s="780" t="s">
        <v>245</v>
      </c>
      <c r="E2391" s="780" t="s">
        <v>51</v>
      </c>
      <c r="F2391" s="788">
        <v>10000</v>
      </c>
      <c r="G2391" s="788">
        <f>F2391*C2391</f>
        <v>600000</v>
      </c>
      <c r="H2391" s="789"/>
    </row>
    <row r="2392" spans="1:8" ht="15.6">
      <c r="A2392" s="790"/>
      <c r="B2392" s="777"/>
      <c r="C2392" s="788"/>
      <c r="D2392" s="780"/>
      <c r="E2392" s="780"/>
      <c r="F2392" s="788"/>
      <c r="G2392" s="788"/>
      <c r="H2392" s="789"/>
    </row>
    <row r="2393" spans="1:8" ht="15.6">
      <c r="A2393" s="793"/>
      <c r="B2393" s="783"/>
      <c r="C2393" s="794"/>
      <c r="D2393" s="795"/>
      <c r="E2393" s="811"/>
      <c r="F2393" s="811" t="s">
        <v>25</v>
      </c>
      <c r="G2393" s="813">
        <f>SUM(G2377:G2392)</f>
        <v>21723296.460000001</v>
      </c>
      <c r="H2393" s="810"/>
    </row>
    <row r="2394" spans="1:8" ht="15.6">
      <c r="A2394" s="820"/>
      <c r="B2394" s="821"/>
      <c r="C2394" s="822"/>
      <c r="D2394" s="822"/>
      <c r="E2394" s="823"/>
      <c r="F2394" s="819" t="s">
        <v>1151</v>
      </c>
      <c r="G2394" s="964">
        <f>G2393/10</f>
        <v>2172329.6460000002</v>
      </c>
      <c r="H2394" s="825"/>
    </row>
    <row r="2395" spans="1:8" ht="15.6">
      <c r="A2395" s="796"/>
      <c r="B2395" s="797"/>
      <c r="C2395" s="784"/>
      <c r="D2395" s="784"/>
      <c r="E2395" s="785"/>
      <c r="F2395" s="812"/>
      <c r="G2395" s="798"/>
      <c r="H2395" s="826">
        <f>G2393+G2394</f>
        <v>23895626.106000002</v>
      </c>
    </row>
    <row r="2396" spans="1:8" ht="15.6">
      <c r="A2396" s="820"/>
      <c r="B2396" s="821"/>
      <c r="C2396" s="822"/>
      <c r="D2396" s="822"/>
      <c r="E2396" s="823"/>
      <c r="F2396" s="819"/>
      <c r="G2396" s="824"/>
      <c r="H2396" s="827"/>
    </row>
    <row r="2397" spans="1:8" ht="15.6">
      <c r="A2397" s="799"/>
      <c r="B2397" s="800"/>
      <c r="C2397" s="800"/>
      <c r="D2397" s="800"/>
      <c r="E2397" s="800"/>
      <c r="F2397" s="801"/>
      <c r="G2397" s="828" t="s">
        <v>28</v>
      </c>
      <c r="H2397" s="775">
        <f>H2395+H2375</f>
        <v>24270626.106000002</v>
      </c>
    </row>
    <row r="2398" spans="1:8" ht="15.6">
      <c r="A2398" s="802"/>
      <c r="B2398" s="803"/>
      <c r="C2398" s="804"/>
      <c r="D2398" s="804"/>
      <c r="E2398" s="804"/>
      <c r="F2398" s="805"/>
      <c r="G2398" s="829" t="s">
        <v>30</v>
      </c>
      <c r="H2398" s="807">
        <f>ROUND(H2397,-3)</f>
        <v>24271000</v>
      </c>
    </row>
    <row r="2399" spans="1:8" ht="15.6">
      <c r="A2399" s="49"/>
      <c r="B2399" s="49"/>
      <c r="C2399" s="49"/>
      <c r="D2399" s="49"/>
      <c r="E2399" s="49"/>
      <c r="F2399" s="49"/>
      <c r="G2399" s="49"/>
      <c r="H2399" s="50"/>
    </row>
    <row r="2400" spans="1:8" ht="18">
      <c r="A2400" s="768" t="s">
        <v>1150</v>
      </c>
      <c r="B2400" s="49"/>
      <c r="C2400" s="49"/>
      <c r="D2400" s="49"/>
      <c r="E2400" s="49"/>
      <c r="F2400" s="49"/>
      <c r="G2400" s="49"/>
      <c r="H2400" s="50"/>
    </row>
    <row r="2401" spans="1:8" ht="17.399999999999999">
      <c r="A2401" s="49"/>
      <c r="B2401" s="965" t="s">
        <v>1574</v>
      </c>
      <c r="C2401" s="49"/>
      <c r="D2401" s="49"/>
      <c r="E2401" s="49"/>
      <c r="F2401" s="49"/>
      <c r="G2401" s="49"/>
      <c r="H2401" s="50"/>
    </row>
    <row r="2402" spans="1:8" ht="15.6">
      <c r="A2402" s="49"/>
      <c r="B2402" s="49"/>
      <c r="C2402" s="49"/>
      <c r="D2402" s="49"/>
      <c r="E2402" s="49"/>
      <c r="F2402" s="49"/>
      <c r="G2402" s="49"/>
      <c r="H2402" s="50"/>
    </row>
    <row r="2403" spans="1:8" ht="15.6">
      <c r="A2403" s="51"/>
      <c r="B2403" s="51"/>
      <c r="C2403" s="51"/>
      <c r="D2403" s="51"/>
      <c r="E2403" s="51"/>
      <c r="F2403" s="51"/>
      <c r="G2403" s="1509" t="s">
        <v>1562</v>
      </c>
      <c r="H2403" s="1509"/>
    </row>
    <row r="2404" spans="1:8" ht="15.6">
      <c r="A2404" s="1509" t="s">
        <v>31</v>
      </c>
      <c r="B2404" s="1509"/>
      <c r="C2404" s="1509" t="s">
        <v>32</v>
      </c>
      <c r="D2404" s="1509"/>
      <c r="E2404" s="1509"/>
      <c r="F2404" s="51"/>
      <c r="G2404" s="1509" t="s">
        <v>33</v>
      </c>
      <c r="H2404" s="1509"/>
    </row>
    <row r="2405" spans="1:8" ht="15.6">
      <c r="A2405" s="51"/>
      <c r="B2405" s="51"/>
      <c r="C2405" s="51"/>
      <c r="D2405" s="51"/>
      <c r="E2405" s="51"/>
      <c r="F2405" s="51"/>
      <c r="G2405" s="51"/>
      <c r="H2405" s="51"/>
    </row>
    <row r="2406" spans="1:8" ht="15.6">
      <c r="A2406" s="51"/>
      <c r="B2406" s="51"/>
      <c r="C2406" s="51"/>
      <c r="D2406" s="51"/>
      <c r="E2406" s="51"/>
      <c r="F2406" s="51"/>
      <c r="G2406" s="51"/>
      <c r="H2406" s="51"/>
    </row>
    <row r="2407" spans="1:8" ht="15.6">
      <c r="A2407" s="51"/>
      <c r="B2407" s="51"/>
      <c r="C2407" s="51"/>
      <c r="D2407" s="51"/>
      <c r="E2407" s="51"/>
      <c r="F2407" s="51"/>
      <c r="G2407" s="51"/>
      <c r="H2407" s="51"/>
    </row>
    <row r="2408" spans="1:8" ht="15.6">
      <c r="A2408" s="1512" t="s">
        <v>34</v>
      </c>
      <c r="B2408" s="1512"/>
      <c r="C2408" s="1512" t="s">
        <v>35</v>
      </c>
      <c r="D2408" s="1512"/>
      <c r="E2408" s="1512"/>
      <c r="F2408" s="51"/>
      <c r="G2408" s="1512" t="s">
        <v>36</v>
      </c>
      <c r="H2408" s="1512"/>
    </row>
    <row r="2409" spans="1:8" ht="15.6">
      <c r="A2409" s="1509" t="s">
        <v>37</v>
      </c>
      <c r="B2409" s="1509"/>
      <c r="C2409" s="1509" t="s">
        <v>38</v>
      </c>
      <c r="D2409" s="1509"/>
      <c r="E2409" s="1509"/>
      <c r="F2409" s="51"/>
      <c r="G2409" s="1509" t="s">
        <v>39</v>
      </c>
      <c r="H2409" s="1509"/>
    </row>
    <row r="2410" spans="1:8" ht="15.6">
      <c r="A2410" s="808"/>
      <c r="B2410" s="808"/>
      <c r="C2410" s="808"/>
      <c r="D2410" s="808"/>
      <c r="E2410" s="808"/>
      <c r="F2410" s="808"/>
      <c r="G2410" s="808"/>
      <c r="H2410" s="808"/>
    </row>
  </sheetData>
  <mergeCells count="1015">
    <mergeCell ref="G212:H212"/>
    <mergeCell ref="C183:H183"/>
    <mergeCell ref="C184:H184"/>
    <mergeCell ref="C185:H185"/>
    <mergeCell ref="A188:A189"/>
    <mergeCell ref="B188:B189"/>
    <mergeCell ref="C188:C189"/>
    <mergeCell ref="D188:D189"/>
    <mergeCell ref="E188:E189"/>
    <mergeCell ref="A113:B113"/>
    <mergeCell ref="C113:E113"/>
    <mergeCell ref="G113:H113"/>
    <mergeCell ref="F90:G90"/>
    <mergeCell ref="F91:G91"/>
    <mergeCell ref="G107:H107"/>
    <mergeCell ref="A108:B108"/>
    <mergeCell ref="C108:E108"/>
    <mergeCell ref="G108:H108"/>
    <mergeCell ref="A112:B112"/>
    <mergeCell ref="C112:E112"/>
    <mergeCell ref="G112:H112"/>
    <mergeCell ref="A179:B179"/>
    <mergeCell ref="C179:E179"/>
    <mergeCell ref="G179:H179"/>
    <mergeCell ref="A178:B178"/>
    <mergeCell ref="C178:E178"/>
    <mergeCell ref="G178:H178"/>
    <mergeCell ref="A174:B174"/>
    <mergeCell ref="C174:E174"/>
    <mergeCell ref="G174:H174"/>
    <mergeCell ref="A142:B142"/>
    <mergeCell ref="C142:E142"/>
    <mergeCell ref="G380:H380"/>
    <mergeCell ref="A380:B380"/>
    <mergeCell ref="C380:E380"/>
    <mergeCell ref="G374:H374"/>
    <mergeCell ref="A375:B375"/>
    <mergeCell ref="C375:E375"/>
    <mergeCell ref="G375:H375"/>
    <mergeCell ref="A379:B379"/>
    <mergeCell ref="C379:E379"/>
    <mergeCell ref="G379:H379"/>
    <mergeCell ref="C341:H341"/>
    <mergeCell ref="C342:H342"/>
    <mergeCell ref="C343:H343"/>
    <mergeCell ref="A346:A347"/>
    <mergeCell ref="B346:B347"/>
    <mergeCell ref="C346:C347"/>
    <mergeCell ref="D346:D347"/>
    <mergeCell ref="E346:E347"/>
    <mergeCell ref="E692:E693"/>
    <mergeCell ref="F718:G718"/>
    <mergeCell ref="C689:H689"/>
    <mergeCell ref="A597:B597"/>
    <mergeCell ref="C597:E597"/>
    <mergeCell ref="G597:H597"/>
    <mergeCell ref="G591:H591"/>
    <mergeCell ref="A592:B592"/>
    <mergeCell ref="C592:E592"/>
    <mergeCell ref="G592:H592"/>
    <mergeCell ref="A596:B596"/>
    <mergeCell ref="C596:E596"/>
    <mergeCell ref="G596:H596"/>
    <mergeCell ref="C540:H540"/>
    <mergeCell ref="C541:H541"/>
    <mergeCell ref="C542:H542"/>
    <mergeCell ref="A545:A546"/>
    <mergeCell ref="B545:B546"/>
    <mergeCell ref="C545:C546"/>
    <mergeCell ref="D545:D546"/>
    <mergeCell ref="E545:E546"/>
    <mergeCell ref="C603:H603"/>
    <mergeCell ref="C602:H602"/>
    <mergeCell ref="C601:H601"/>
    <mergeCell ref="G678:H678"/>
    <mergeCell ref="A629:B629"/>
    <mergeCell ref="C629:E629"/>
    <mergeCell ref="G629:H629"/>
    <mergeCell ref="G628:H628"/>
    <mergeCell ref="A606:A607"/>
    <mergeCell ref="B606:B607"/>
    <mergeCell ref="C606:C607"/>
    <mergeCell ref="C969:E969"/>
    <mergeCell ref="G969:H969"/>
    <mergeCell ref="G1005:H1005"/>
    <mergeCell ref="G964:H964"/>
    <mergeCell ref="C980:H980"/>
    <mergeCell ref="C687:H687"/>
    <mergeCell ref="C686:H686"/>
    <mergeCell ref="A795:B795"/>
    <mergeCell ref="C795:E795"/>
    <mergeCell ref="G795:H795"/>
    <mergeCell ref="G789:H789"/>
    <mergeCell ref="A790:B790"/>
    <mergeCell ref="C790:E790"/>
    <mergeCell ref="G790:H790"/>
    <mergeCell ref="A794:B794"/>
    <mergeCell ref="C794:E794"/>
    <mergeCell ref="G794:H794"/>
    <mergeCell ref="C763:H763"/>
    <mergeCell ref="C764:H764"/>
    <mergeCell ref="C765:H765"/>
    <mergeCell ref="A768:A769"/>
    <mergeCell ref="B768:B769"/>
    <mergeCell ref="C768:C769"/>
    <mergeCell ref="D768:D769"/>
    <mergeCell ref="E768:E769"/>
    <mergeCell ref="C688:H688"/>
    <mergeCell ref="A731:B731"/>
    <mergeCell ref="C731:E731"/>
    <mergeCell ref="G731:H731"/>
    <mergeCell ref="A730:B730"/>
    <mergeCell ref="C730:E730"/>
    <mergeCell ref="D692:D693"/>
    <mergeCell ref="C1019:H1019"/>
    <mergeCell ref="C1018:H1018"/>
    <mergeCell ref="C1017:H1017"/>
    <mergeCell ref="C1044:E1044"/>
    <mergeCell ref="G1044:H1044"/>
    <mergeCell ref="G1043:H1043"/>
    <mergeCell ref="A1022:A1023"/>
    <mergeCell ref="G963:H963"/>
    <mergeCell ref="A964:B964"/>
    <mergeCell ref="C964:E964"/>
    <mergeCell ref="A968:B968"/>
    <mergeCell ref="C968:E968"/>
    <mergeCell ref="G968:H968"/>
    <mergeCell ref="C936:H936"/>
    <mergeCell ref="C938:H938"/>
    <mergeCell ref="A941:A942"/>
    <mergeCell ref="B941:B942"/>
    <mergeCell ref="C941:C942"/>
    <mergeCell ref="D941:D942"/>
    <mergeCell ref="E941:E942"/>
    <mergeCell ref="C937:H937"/>
    <mergeCell ref="A1011:B1011"/>
    <mergeCell ref="C1011:E1011"/>
    <mergeCell ref="G1011:H1011"/>
    <mergeCell ref="A1010:B1010"/>
    <mergeCell ref="C1010:E1010"/>
    <mergeCell ref="G1010:H1010"/>
    <mergeCell ref="C984:C985"/>
    <mergeCell ref="D984:D985"/>
    <mergeCell ref="E984:E985"/>
    <mergeCell ref="A1006:B1006"/>
    <mergeCell ref="A969:B969"/>
    <mergeCell ref="A1146:A1147"/>
    <mergeCell ref="B1146:B1147"/>
    <mergeCell ref="C1146:C1147"/>
    <mergeCell ref="D1146:D1147"/>
    <mergeCell ref="E1146:E1147"/>
    <mergeCell ref="C1198:C1199"/>
    <mergeCell ref="D1198:D1199"/>
    <mergeCell ref="C979:H979"/>
    <mergeCell ref="C981:H981"/>
    <mergeCell ref="A984:A985"/>
    <mergeCell ref="B984:B985"/>
    <mergeCell ref="A1134:B1134"/>
    <mergeCell ref="C1134:E1134"/>
    <mergeCell ref="G1134:H1134"/>
    <mergeCell ref="A1133:B1133"/>
    <mergeCell ref="C1133:E1133"/>
    <mergeCell ref="G1133:H1133"/>
    <mergeCell ref="A1129:B1129"/>
    <mergeCell ref="C1129:E1129"/>
    <mergeCell ref="G1129:H1129"/>
    <mergeCell ref="G1128:H1128"/>
    <mergeCell ref="A1100:A1101"/>
    <mergeCell ref="B1100:B1101"/>
    <mergeCell ref="C1100:C1101"/>
    <mergeCell ref="D1100:D1101"/>
    <mergeCell ref="E1100:E1101"/>
    <mergeCell ref="C1097:H1097"/>
    <mergeCell ref="C1096:H1096"/>
    <mergeCell ref="C1095:H1095"/>
    <mergeCell ref="C1057:H1057"/>
    <mergeCell ref="C1058:H1058"/>
    <mergeCell ref="C1059:H1059"/>
    <mergeCell ref="C1142:H1142"/>
    <mergeCell ref="C1141:H1141"/>
    <mergeCell ref="A1229:B1229"/>
    <mergeCell ref="C1229:E1229"/>
    <mergeCell ref="G1229:H1229"/>
    <mergeCell ref="G1223:H1223"/>
    <mergeCell ref="A1224:B1224"/>
    <mergeCell ref="A1306:B1306"/>
    <mergeCell ref="C1306:E1306"/>
    <mergeCell ref="A1228:B1228"/>
    <mergeCell ref="C1228:E1228"/>
    <mergeCell ref="G1228:H1228"/>
    <mergeCell ref="C1193:H1193"/>
    <mergeCell ref="C1194:H1194"/>
    <mergeCell ref="C1195:H1195"/>
    <mergeCell ref="A1198:A1199"/>
    <mergeCell ref="B1198:B1199"/>
    <mergeCell ref="D1258:D1259"/>
    <mergeCell ref="E1258:E1259"/>
    <mergeCell ref="E1198:E1199"/>
    <mergeCell ref="A1180:B1180"/>
    <mergeCell ref="C1180:E1180"/>
    <mergeCell ref="G1180:H1180"/>
    <mergeCell ref="A1179:B1179"/>
    <mergeCell ref="C1179:E1179"/>
    <mergeCell ref="G1179:H1179"/>
    <mergeCell ref="A1175:B1175"/>
    <mergeCell ref="C1224:E1224"/>
    <mergeCell ref="G1224:H1224"/>
    <mergeCell ref="C1175:E1175"/>
    <mergeCell ref="G1175:H1175"/>
    <mergeCell ref="G1174:H1174"/>
    <mergeCell ref="A1404:B1404"/>
    <mergeCell ref="C1404:E1404"/>
    <mergeCell ref="G1404:H1404"/>
    <mergeCell ref="G1306:H1306"/>
    <mergeCell ref="C1253:H1253"/>
    <mergeCell ref="C1254:H1254"/>
    <mergeCell ref="C1255:H1255"/>
    <mergeCell ref="A1258:A1259"/>
    <mergeCell ref="B1258:B1259"/>
    <mergeCell ref="C1258:C1259"/>
    <mergeCell ref="A1399:B1399"/>
    <mergeCell ref="C1399:E1399"/>
    <mergeCell ref="G1399:H1399"/>
    <mergeCell ref="A1403:B1403"/>
    <mergeCell ref="C1403:E1403"/>
    <mergeCell ref="G1403:H1403"/>
    <mergeCell ref="G1365:H1365"/>
    <mergeCell ref="C1375:C1376"/>
    <mergeCell ref="D1375:D1376"/>
    <mergeCell ref="E1375:E1376"/>
    <mergeCell ref="G1398:H1398"/>
    <mergeCell ref="C1331:H1331"/>
    <mergeCell ref="C1332:H1332"/>
    <mergeCell ref="C1333:H1333"/>
    <mergeCell ref="A1336:A1337"/>
    <mergeCell ref="B1336:B1337"/>
    <mergeCell ref="C1336:C1337"/>
    <mergeCell ref="D1336:D1337"/>
    <mergeCell ref="E1336:E1337"/>
    <mergeCell ref="A1564:H1564"/>
    <mergeCell ref="A1568:A1569"/>
    <mergeCell ref="B1568:B1569"/>
    <mergeCell ref="G1583:H1583"/>
    <mergeCell ref="A1587:B1587"/>
    <mergeCell ref="C1370:H1370"/>
    <mergeCell ref="C1371:H1371"/>
    <mergeCell ref="C1372:H1372"/>
    <mergeCell ref="A1375:A1376"/>
    <mergeCell ref="B1375:B1376"/>
    <mergeCell ref="A1563:H1563"/>
    <mergeCell ref="C1587:E1587"/>
    <mergeCell ref="G1587:H1587"/>
    <mergeCell ref="C1710:E1710"/>
    <mergeCell ref="G1710:H1710"/>
    <mergeCell ref="C1684:H1684"/>
    <mergeCell ref="A1689:A1690"/>
    <mergeCell ref="B1689:B1690"/>
    <mergeCell ref="A1565:H1565"/>
    <mergeCell ref="C1689:C1690"/>
    <mergeCell ref="D1689:D1690"/>
    <mergeCell ref="E1689:E1690"/>
    <mergeCell ref="C1685:H1685"/>
    <mergeCell ref="G1628:H1628"/>
    <mergeCell ref="G1627:H1627"/>
    <mergeCell ref="A1633:B1633"/>
    <mergeCell ref="C1633:E1633"/>
    <mergeCell ref="G1633:H1633"/>
    <mergeCell ref="A1632:B1632"/>
    <mergeCell ref="C1632:E1632"/>
    <mergeCell ref="G1632:H1632"/>
    <mergeCell ref="A1628:B1628"/>
    <mergeCell ref="A1711:B1711"/>
    <mergeCell ref="C1711:E1711"/>
    <mergeCell ref="G1711:H1711"/>
    <mergeCell ref="G1706:H1706"/>
    <mergeCell ref="C1687:H1687"/>
    <mergeCell ref="C1686:H1686"/>
    <mergeCell ref="G1705:H1705"/>
    <mergeCell ref="A1706:B1706"/>
    <mergeCell ref="C1706:E1706"/>
    <mergeCell ref="A1710:B1710"/>
    <mergeCell ref="C1718:H1718"/>
    <mergeCell ref="C1719:H1719"/>
    <mergeCell ref="C1720:H1720"/>
    <mergeCell ref="G1745:H1745"/>
    <mergeCell ref="A1746:B1746"/>
    <mergeCell ref="C1746:E1746"/>
    <mergeCell ref="G1746:H1746"/>
    <mergeCell ref="A1723:A1724"/>
    <mergeCell ref="B1723:B1724"/>
    <mergeCell ref="C1723:C1724"/>
    <mergeCell ref="D1723:D1724"/>
    <mergeCell ref="E1723:E1724"/>
    <mergeCell ref="A1751:B1751"/>
    <mergeCell ref="C1751:E1751"/>
    <mergeCell ref="G1751:H1751"/>
    <mergeCell ref="A1750:B1750"/>
    <mergeCell ref="C1750:E1750"/>
    <mergeCell ref="G1750:H1750"/>
    <mergeCell ref="C1787:H1787"/>
    <mergeCell ref="C1788:H1788"/>
    <mergeCell ref="C1789:H1789"/>
    <mergeCell ref="A1792:A1793"/>
    <mergeCell ref="B1792:B1793"/>
    <mergeCell ref="C1792:C1793"/>
    <mergeCell ref="D1792:D1793"/>
    <mergeCell ref="E1792:E1793"/>
    <mergeCell ref="G1812:H1812"/>
    <mergeCell ref="A1813:B1813"/>
    <mergeCell ref="C1813:E1813"/>
    <mergeCell ref="G1813:H1813"/>
    <mergeCell ref="A1817:B1817"/>
    <mergeCell ref="C1817:E1817"/>
    <mergeCell ref="G1817:H1817"/>
    <mergeCell ref="A1818:B1818"/>
    <mergeCell ref="C1818:E1818"/>
    <mergeCell ref="G1818:H1818"/>
    <mergeCell ref="C1820:H1820"/>
    <mergeCell ref="C1821:H1821"/>
    <mergeCell ref="C1822:H1822"/>
    <mergeCell ref="A1825:A1826"/>
    <mergeCell ref="B1825:B1826"/>
    <mergeCell ref="C1825:C1826"/>
    <mergeCell ref="D1825:D1826"/>
    <mergeCell ref="E1825:E1826"/>
    <mergeCell ref="G1852:H1852"/>
    <mergeCell ref="A1853:B1853"/>
    <mergeCell ref="C1853:E1853"/>
    <mergeCell ref="G1853:H1853"/>
    <mergeCell ref="A1857:B1857"/>
    <mergeCell ref="C1857:E1857"/>
    <mergeCell ref="G1857:H1857"/>
    <mergeCell ref="A1858:B1858"/>
    <mergeCell ref="C1858:E1858"/>
    <mergeCell ref="G1858:H1858"/>
    <mergeCell ref="C1864:H1864"/>
    <mergeCell ref="C1865:H1865"/>
    <mergeCell ref="C1866:H1866"/>
    <mergeCell ref="A1869:A1870"/>
    <mergeCell ref="B1869:B1870"/>
    <mergeCell ref="C1869:C1870"/>
    <mergeCell ref="D1869:D1870"/>
    <mergeCell ref="E1869:E1870"/>
    <mergeCell ref="G1896:H1896"/>
    <mergeCell ref="A1897:B1897"/>
    <mergeCell ref="C1897:E1897"/>
    <mergeCell ref="G1897:H1897"/>
    <mergeCell ref="A1901:B1901"/>
    <mergeCell ref="C1901:E1901"/>
    <mergeCell ref="G1901:H1901"/>
    <mergeCell ref="A1902:B1902"/>
    <mergeCell ref="C1902:E1902"/>
    <mergeCell ref="G1902:H1902"/>
    <mergeCell ref="C1908:H1908"/>
    <mergeCell ref="C1909:H1909"/>
    <mergeCell ref="C1910:H1910"/>
    <mergeCell ref="A1913:A1914"/>
    <mergeCell ref="B1913:B1914"/>
    <mergeCell ref="C1913:C1914"/>
    <mergeCell ref="D1913:D1914"/>
    <mergeCell ref="E1913:E1914"/>
    <mergeCell ref="G1952:H1952"/>
    <mergeCell ref="A1953:B1953"/>
    <mergeCell ref="C1953:E1953"/>
    <mergeCell ref="G1953:H1953"/>
    <mergeCell ref="A1957:B1957"/>
    <mergeCell ref="C1957:E1957"/>
    <mergeCell ref="G1957:H1957"/>
    <mergeCell ref="A1958:B1958"/>
    <mergeCell ref="C1958:E1958"/>
    <mergeCell ref="G1958:H1958"/>
    <mergeCell ref="C1963:H1963"/>
    <mergeCell ref="C1964:H1964"/>
    <mergeCell ref="C1965:H1965"/>
    <mergeCell ref="A1968:A1969"/>
    <mergeCell ref="B1968:B1969"/>
    <mergeCell ref="C1968:C1969"/>
    <mergeCell ref="D1968:D1969"/>
    <mergeCell ref="E1968:E1969"/>
    <mergeCell ref="G2000:H2000"/>
    <mergeCell ref="A2001:B2001"/>
    <mergeCell ref="C2001:E2001"/>
    <mergeCell ref="G2001:H2001"/>
    <mergeCell ref="A2005:B2005"/>
    <mergeCell ref="C2005:E2005"/>
    <mergeCell ref="G2005:H2005"/>
    <mergeCell ref="A2006:B2006"/>
    <mergeCell ref="C2006:E2006"/>
    <mergeCell ref="G2006:H2006"/>
    <mergeCell ref="C2010:H2010"/>
    <mergeCell ref="C2011:H2011"/>
    <mergeCell ref="C2012:H2012"/>
    <mergeCell ref="A2015:A2016"/>
    <mergeCell ref="B2015:B2016"/>
    <mergeCell ref="C2015:C2016"/>
    <mergeCell ref="D2015:D2016"/>
    <mergeCell ref="E2015:E2016"/>
    <mergeCell ref="G2041:H2041"/>
    <mergeCell ref="A2042:B2042"/>
    <mergeCell ref="C2042:E2042"/>
    <mergeCell ref="G2042:H2042"/>
    <mergeCell ref="A2046:B2046"/>
    <mergeCell ref="C2046:E2046"/>
    <mergeCell ref="G2046:H2046"/>
    <mergeCell ref="A2047:B2047"/>
    <mergeCell ref="C2047:E2047"/>
    <mergeCell ref="G2047:H2047"/>
    <mergeCell ref="C2052:H2052"/>
    <mergeCell ref="C2053:H2053"/>
    <mergeCell ref="C2054:H2054"/>
    <mergeCell ref="A2057:A2058"/>
    <mergeCell ref="B2057:B2058"/>
    <mergeCell ref="C2057:C2058"/>
    <mergeCell ref="D2057:D2058"/>
    <mergeCell ref="E2057:E2058"/>
    <mergeCell ref="F2069:G2069"/>
    <mergeCell ref="E2075:G2075"/>
    <mergeCell ref="G2084:H2084"/>
    <mergeCell ref="A2085:B2085"/>
    <mergeCell ref="C2085:E2085"/>
    <mergeCell ref="G2085:H2085"/>
    <mergeCell ref="A2089:B2089"/>
    <mergeCell ref="C2089:E2089"/>
    <mergeCell ref="G2089:H2089"/>
    <mergeCell ref="A2090:B2090"/>
    <mergeCell ref="C2090:E2090"/>
    <mergeCell ref="G2090:H2090"/>
    <mergeCell ref="C2093:H2093"/>
    <mergeCell ref="C2094:H2094"/>
    <mergeCell ref="C2095:H2095"/>
    <mergeCell ref="A2098:A2099"/>
    <mergeCell ref="B2098:B2099"/>
    <mergeCell ref="C2098:C2099"/>
    <mergeCell ref="D2098:D2099"/>
    <mergeCell ref="E2098:E2099"/>
    <mergeCell ref="G2117:H2117"/>
    <mergeCell ref="A2118:B2118"/>
    <mergeCell ref="C2118:E2118"/>
    <mergeCell ref="G2118:H2118"/>
    <mergeCell ref="A2122:B2122"/>
    <mergeCell ref="C2122:E2122"/>
    <mergeCell ref="G2122:H2122"/>
    <mergeCell ref="A2123:B2123"/>
    <mergeCell ref="C2123:E2123"/>
    <mergeCell ref="G2123:H2123"/>
    <mergeCell ref="C2127:H2127"/>
    <mergeCell ref="C2128:H2128"/>
    <mergeCell ref="C2129:H2129"/>
    <mergeCell ref="A2132:A2133"/>
    <mergeCell ref="B2132:B2133"/>
    <mergeCell ref="C2132:C2133"/>
    <mergeCell ref="D2132:D2133"/>
    <mergeCell ref="E2132:E2133"/>
    <mergeCell ref="G2158:H2158"/>
    <mergeCell ref="A2159:B2159"/>
    <mergeCell ref="C2159:E2159"/>
    <mergeCell ref="G2159:H2159"/>
    <mergeCell ref="A2163:B2163"/>
    <mergeCell ref="C2163:E2163"/>
    <mergeCell ref="G2163:H2163"/>
    <mergeCell ref="A2164:B2164"/>
    <mergeCell ref="C2164:E2164"/>
    <mergeCell ref="G2164:H2164"/>
    <mergeCell ref="C2168:H2168"/>
    <mergeCell ref="C2169:H2169"/>
    <mergeCell ref="C2170:H2170"/>
    <mergeCell ref="A2173:A2174"/>
    <mergeCell ref="B2173:B2174"/>
    <mergeCell ref="C2173:C2174"/>
    <mergeCell ref="D2173:D2174"/>
    <mergeCell ref="E2173:E2174"/>
    <mergeCell ref="G2212:H2212"/>
    <mergeCell ref="A2213:B2213"/>
    <mergeCell ref="C2213:E2213"/>
    <mergeCell ref="G2213:H2213"/>
    <mergeCell ref="A2217:B2217"/>
    <mergeCell ref="C2217:E2217"/>
    <mergeCell ref="G2217:H2217"/>
    <mergeCell ref="A2218:B2218"/>
    <mergeCell ref="C2218:E2218"/>
    <mergeCell ref="G2218:H2218"/>
    <mergeCell ref="C2219:H2219"/>
    <mergeCell ref="C2220:H2220"/>
    <mergeCell ref="C2221:H2221"/>
    <mergeCell ref="A2224:A2225"/>
    <mergeCell ref="B2224:B2225"/>
    <mergeCell ref="C2224:C2225"/>
    <mergeCell ref="D2224:D2225"/>
    <mergeCell ref="E2224:E2225"/>
    <mergeCell ref="G2248:H2248"/>
    <mergeCell ref="A2249:B2249"/>
    <mergeCell ref="C2249:E2249"/>
    <mergeCell ref="G2249:H2249"/>
    <mergeCell ref="A2253:B2253"/>
    <mergeCell ref="C2253:E2253"/>
    <mergeCell ref="G2253:H2253"/>
    <mergeCell ref="A2254:B2254"/>
    <mergeCell ref="C2254:E2254"/>
    <mergeCell ref="G2254:H2254"/>
    <mergeCell ref="C2256:H2256"/>
    <mergeCell ref="C2257:H2257"/>
    <mergeCell ref="C2258:H2258"/>
    <mergeCell ref="A2261:A2262"/>
    <mergeCell ref="B2261:B2262"/>
    <mergeCell ref="C2261:C2262"/>
    <mergeCell ref="D2261:D2262"/>
    <mergeCell ref="E2261:E2262"/>
    <mergeCell ref="A2356:B2356"/>
    <mergeCell ref="C2356:E2356"/>
    <mergeCell ref="G2356:H2356"/>
    <mergeCell ref="A2357:B2357"/>
    <mergeCell ref="C2357:E2357"/>
    <mergeCell ref="G2357:H2357"/>
    <mergeCell ref="C2359:H2359"/>
    <mergeCell ref="C2360:H2360"/>
    <mergeCell ref="C2361:H2361"/>
    <mergeCell ref="A2364:A2365"/>
    <mergeCell ref="B2364:B2365"/>
    <mergeCell ref="C2364:C2365"/>
    <mergeCell ref="D2364:D2365"/>
    <mergeCell ref="E2364:E2365"/>
    <mergeCell ref="G2296:H2296"/>
    <mergeCell ref="A2297:B2297"/>
    <mergeCell ref="C2297:E2297"/>
    <mergeCell ref="G2297:H2297"/>
    <mergeCell ref="A2301:B2301"/>
    <mergeCell ref="C2301:E2301"/>
    <mergeCell ref="G2301:H2301"/>
    <mergeCell ref="A2302:B2302"/>
    <mergeCell ref="C2302:E2302"/>
    <mergeCell ref="G2302:H2302"/>
    <mergeCell ref="C2307:H2307"/>
    <mergeCell ref="C2308:H2308"/>
    <mergeCell ref="C2309:H2309"/>
    <mergeCell ref="A2312:A2313"/>
    <mergeCell ref="B2312:B2313"/>
    <mergeCell ref="C2312:C2313"/>
    <mergeCell ref="D2312:D2313"/>
    <mergeCell ref="E2312:E2313"/>
    <mergeCell ref="G2403:H2403"/>
    <mergeCell ref="A2409:B2409"/>
    <mergeCell ref="C2409:E2409"/>
    <mergeCell ref="G2409:H2409"/>
    <mergeCell ref="A2404:B2404"/>
    <mergeCell ref="C2404:E2404"/>
    <mergeCell ref="G2404:H2404"/>
    <mergeCell ref="A2408:B2408"/>
    <mergeCell ref="C2408:E2408"/>
    <mergeCell ref="G2408:H2408"/>
    <mergeCell ref="C1647:C1648"/>
    <mergeCell ref="D1647:D1648"/>
    <mergeCell ref="E1647:E1648"/>
    <mergeCell ref="C1644:H1644"/>
    <mergeCell ref="C1643:H1643"/>
    <mergeCell ref="C1642:H1642"/>
    <mergeCell ref="A1677:B1677"/>
    <mergeCell ref="C1677:E1677"/>
    <mergeCell ref="G1677:H1677"/>
    <mergeCell ref="A1676:B1676"/>
    <mergeCell ref="C1676:E1676"/>
    <mergeCell ref="G1676:H1676"/>
    <mergeCell ref="A1672:B1672"/>
    <mergeCell ref="C1672:E1672"/>
    <mergeCell ref="G1672:H1672"/>
    <mergeCell ref="G1671:H1671"/>
    <mergeCell ref="A1647:A1648"/>
    <mergeCell ref="B1647:B1648"/>
    <mergeCell ref="G2351:H2351"/>
    <mergeCell ref="A2352:B2352"/>
    <mergeCell ref="C2352:E2352"/>
    <mergeCell ref="G2352:H2352"/>
    <mergeCell ref="C1628:E1628"/>
    <mergeCell ref="C1568:C1569"/>
    <mergeCell ref="A1598:A1599"/>
    <mergeCell ref="B1598:B1599"/>
    <mergeCell ref="C1598:C1599"/>
    <mergeCell ref="D1598:D1599"/>
    <mergeCell ref="E1598:E1599"/>
    <mergeCell ref="A1588:B1588"/>
    <mergeCell ref="C1588:E1588"/>
    <mergeCell ref="D1568:D1569"/>
    <mergeCell ref="E1568:E1569"/>
    <mergeCell ref="C1593:H1593"/>
    <mergeCell ref="C1594:H1594"/>
    <mergeCell ref="C1595:H1595"/>
    <mergeCell ref="G1582:H1582"/>
    <mergeCell ref="A1583:B1583"/>
    <mergeCell ref="C1583:E1583"/>
    <mergeCell ref="G1588:H1588"/>
    <mergeCell ref="C1539:E1539"/>
    <mergeCell ref="G1539:H1539"/>
    <mergeCell ref="A1543:B1543"/>
    <mergeCell ref="C1543:E1543"/>
    <mergeCell ref="G1543:H1543"/>
    <mergeCell ref="A1544:B1544"/>
    <mergeCell ref="C1544:E1544"/>
    <mergeCell ref="G1544:H1544"/>
    <mergeCell ref="G1538:H1538"/>
    <mergeCell ref="A1539:B1539"/>
    <mergeCell ref="C1519:H1519"/>
    <mergeCell ref="C1520:H1520"/>
    <mergeCell ref="C1521:H1521"/>
    <mergeCell ref="A1524:A1525"/>
    <mergeCell ref="B1524:B1525"/>
    <mergeCell ref="C1524:C1525"/>
    <mergeCell ref="D1524:D1525"/>
    <mergeCell ref="E1524:E1525"/>
    <mergeCell ref="A1510:B1510"/>
    <mergeCell ref="C1510:E1510"/>
    <mergeCell ref="G1510:H1510"/>
    <mergeCell ref="G1505:H1505"/>
    <mergeCell ref="A1506:B1506"/>
    <mergeCell ref="C1506:E1506"/>
    <mergeCell ref="A1511:B1511"/>
    <mergeCell ref="C1511:E1511"/>
    <mergeCell ref="G1511:H1511"/>
    <mergeCell ref="C1485:H1485"/>
    <mergeCell ref="A1488:A1489"/>
    <mergeCell ref="B1488:B1489"/>
    <mergeCell ref="C1488:C1489"/>
    <mergeCell ref="D1488:D1489"/>
    <mergeCell ref="E1488:E1489"/>
    <mergeCell ref="F1500:G1500"/>
    <mergeCell ref="A1458:A1459"/>
    <mergeCell ref="B1458:B1459"/>
    <mergeCell ref="C1458:C1459"/>
    <mergeCell ref="D1458:D1459"/>
    <mergeCell ref="E1458:E1459"/>
    <mergeCell ref="G1506:H1506"/>
    <mergeCell ref="F1501:G1501"/>
    <mergeCell ref="F1502:G1502"/>
    <mergeCell ref="F1503:G1503"/>
    <mergeCell ref="C1484:H1484"/>
    <mergeCell ref="A1472:B1472"/>
    <mergeCell ref="C1472:E1472"/>
    <mergeCell ref="G1472:H1472"/>
    <mergeCell ref="G1471:H1471"/>
    <mergeCell ref="F1469:G1469"/>
    <mergeCell ref="F1468:G1468"/>
    <mergeCell ref="C1455:H1455"/>
    <mergeCell ref="F1467:G1467"/>
    <mergeCell ref="F1466:G1466"/>
    <mergeCell ref="C1483:H1483"/>
    <mergeCell ref="A1477:B1477"/>
    <mergeCell ref="C1477:E1477"/>
    <mergeCell ref="G1477:H1477"/>
    <mergeCell ref="A1476:B1476"/>
    <mergeCell ref="C1476:E1476"/>
    <mergeCell ref="G1476:H1476"/>
    <mergeCell ref="C1449:E1449"/>
    <mergeCell ref="G1449:H1449"/>
    <mergeCell ref="K1373:Q1373"/>
    <mergeCell ref="K1372:Q1372"/>
    <mergeCell ref="C1453:H1453"/>
    <mergeCell ref="C1454:H1454"/>
    <mergeCell ref="C1412:H1412"/>
    <mergeCell ref="A1450:B1450"/>
    <mergeCell ref="C1450:E1450"/>
    <mergeCell ref="G1450:H1450"/>
    <mergeCell ref="C1411:H1411"/>
    <mergeCell ref="G1444:H1444"/>
    <mergeCell ref="A1445:B1445"/>
    <mergeCell ref="C1445:E1445"/>
    <mergeCell ref="G1445:H1445"/>
    <mergeCell ref="A1449:B1449"/>
    <mergeCell ref="A1416:A1417"/>
    <mergeCell ref="B1416:B1417"/>
    <mergeCell ref="C1416:C1417"/>
    <mergeCell ref="D1416:D1417"/>
    <mergeCell ref="E1416:E1417"/>
    <mergeCell ref="C1413:H1413"/>
    <mergeCell ref="E1062:E1063"/>
    <mergeCell ref="A1366:B1366"/>
    <mergeCell ref="C1366:E1366"/>
    <mergeCell ref="G1366:H1366"/>
    <mergeCell ref="G1360:H1360"/>
    <mergeCell ref="A1361:B1361"/>
    <mergeCell ref="C1361:E1361"/>
    <mergeCell ref="G1361:H1361"/>
    <mergeCell ref="A1365:B1365"/>
    <mergeCell ref="C1365:E1365"/>
    <mergeCell ref="A1091:B1091"/>
    <mergeCell ref="C1091:E1091"/>
    <mergeCell ref="G1091:H1091"/>
    <mergeCell ref="A1062:A1063"/>
    <mergeCell ref="B1062:B1063"/>
    <mergeCell ref="C1062:C1063"/>
    <mergeCell ref="D1062:D1063"/>
    <mergeCell ref="A1092:B1092"/>
    <mergeCell ref="C1092:E1092"/>
    <mergeCell ref="G1092:H1092"/>
    <mergeCell ref="G1086:H1086"/>
    <mergeCell ref="A1087:B1087"/>
    <mergeCell ref="C1087:E1087"/>
    <mergeCell ref="G1087:H1087"/>
    <mergeCell ref="A1307:B1307"/>
    <mergeCell ref="C1307:E1307"/>
    <mergeCell ref="G1307:H1307"/>
    <mergeCell ref="G1301:H1301"/>
    <mergeCell ref="A1302:B1302"/>
    <mergeCell ref="C1302:E1302"/>
    <mergeCell ref="G1302:H1302"/>
    <mergeCell ref="C1143:H1143"/>
    <mergeCell ref="B1022:B1023"/>
    <mergeCell ref="C1022:C1023"/>
    <mergeCell ref="D1022:D1023"/>
    <mergeCell ref="E1022:E1023"/>
    <mergeCell ref="C892:H892"/>
    <mergeCell ref="C890:H890"/>
    <mergeCell ref="C889:H889"/>
    <mergeCell ref="A1049:B1049"/>
    <mergeCell ref="C1049:E1049"/>
    <mergeCell ref="G1049:H1049"/>
    <mergeCell ref="A1048:B1048"/>
    <mergeCell ref="C1048:E1048"/>
    <mergeCell ref="G1048:H1048"/>
    <mergeCell ref="A1044:B1044"/>
    <mergeCell ref="G923:H923"/>
    <mergeCell ref="A894:A895"/>
    <mergeCell ref="B894:B895"/>
    <mergeCell ref="C894:C895"/>
    <mergeCell ref="D894:D895"/>
    <mergeCell ref="E894:E895"/>
    <mergeCell ref="C891:H891"/>
    <mergeCell ref="A929:B929"/>
    <mergeCell ref="C929:E929"/>
    <mergeCell ref="G929:H929"/>
    <mergeCell ref="A928:B928"/>
    <mergeCell ref="C928:E928"/>
    <mergeCell ref="G928:H928"/>
    <mergeCell ref="A924:B924"/>
    <mergeCell ref="C924:E924"/>
    <mergeCell ref="G924:H924"/>
    <mergeCell ref="C1006:E1006"/>
    <mergeCell ref="G1006:H1006"/>
    <mergeCell ref="G878:H878"/>
    <mergeCell ref="G873:H873"/>
    <mergeCell ref="C845:H845"/>
    <mergeCell ref="C844:H844"/>
    <mergeCell ref="G872:H872"/>
    <mergeCell ref="A809:A810"/>
    <mergeCell ref="C848:C849"/>
    <mergeCell ref="D848:D849"/>
    <mergeCell ref="E848:E849"/>
    <mergeCell ref="A878:B878"/>
    <mergeCell ref="C878:E878"/>
    <mergeCell ref="A873:B873"/>
    <mergeCell ref="C873:E873"/>
    <mergeCell ref="A877:B877"/>
    <mergeCell ref="A848:A849"/>
    <mergeCell ref="C877:E877"/>
    <mergeCell ref="G877:H877"/>
    <mergeCell ref="C843:H843"/>
    <mergeCell ref="A831:B831"/>
    <mergeCell ref="C831:E831"/>
    <mergeCell ref="G831:H831"/>
    <mergeCell ref="B848:B849"/>
    <mergeCell ref="A836:B836"/>
    <mergeCell ref="C836:E836"/>
    <mergeCell ref="G836:H836"/>
    <mergeCell ref="A835:B835"/>
    <mergeCell ref="C835:E835"/>
    <mergeCell ref="G835:H835"/>
    <mergeCell ref="C805:H805"/>
    <mergeCell ref="C804:H804"/>
    <mergeCell ref="G830:H830"/>
    <mergeCell ref="A682:B682"/>
    <mergeCell ref="C682:E682"/>
    <mergeCell ref="G682:H682"/>
    <mergeCell ref="C644:H644"/>
    <mergeCell ref="C645:H645"/>
    <mergeCell ref="C646:H646"/>
    <mergeCell ref="A649:A650"/>
    <mergeCell ref="B649:B650"/>
    <mergeCell ref="C649:C650"/>
    <mergeCell ref="D649:D650"/>
    <mergeCell ref="C806:H806"/>
    <mergeCell ref="B809:B810"/>
    <mergeCell ref="C809:C810"/>
    <mergeCell ref="D809:D810"/>
    <mergeCell ref="E809:E810"/>
    <mergeCell ref="G730:H730"/>
    <mergeCell ref="A726:B726"/>
    <mergeCell ref="C726:E726"/>
    <mergeCell ref="G726:H726"/>
    <mergeCell ref="G725:H725"/>
    <mergeCell ref="A692:A693"/>
    <mergeCell ref="B692:B693"/>
    <mergeCell ref="C692:C693"/>
    <mergeCell ref="A683:B683"/>
    <mergeCell ref="C683:E683"/>
    <mergeCell ref="G683:H683"/>
    <mergeCell ref="G677:H677"/>
    <mergeCell ref="A678:B678"/>
    <mergeCell ref="C678:E678"/>
    <mergeCell ref="D606:D607"/>
    <mergeCell ref="E606:E607"/>
    <mergeCell ref="A634:B634"/>
    <mergeCell ref="C634:E634"/>
    <mergeCell ref="G634:H634"/>
    <mergeCell ref="A633:B633"/>
    <mergeCell ref="C633:E633"/>
    <mergeCell ref="G633:H633"/>
    <mergeCell ref="E649:E650"/>
    <mergeCell ref="C501:H501"/>
    <mergeCell ref="C502:H502"/>
    <mergeCell ref="C503:H503"/>
    <mergeCell ref="A506:A507"/>
    <mergeCell ref="B506:B507"/>
    <mergeCell ref="C506:C507"/>
    <mergeCell ref="D506:D507"/>
    <mergeCell ref="E506:E507"/>
    <mergeCell ref="A536:B536"/>
    <mergeCell ref="C536:E536"/>
    <mergeCell ref="G536:H536"/>
    <mergeCell ref="G530:H530"/>
    <mergeCell ref="A531:B531"/>
    <mergeCell ref="C531:E531"/>
    <mergeCell ref="G531:H531"/>
    <mergeCell ref="A535:B535"/>
    <mergeCell ref="C535:E535"/>
    <mergeCell ref="G535:H535"/>
    <mergeCell ref="J428:Q428"/>
    <mergeCell ref="J429:Q429"/>
    <mergeCell ref="C454:H454"/>
    <mergeCell ref="C455:H455"/>
    <mergeCell ref="C456:H456"/>
    <mergeCell ref="A459:A460"/>
    <mergeCell ref="B459:B460"/>
    <mergeCell ref="C459:C460"/>
    <mergeCell ref="D459:D460"/>
    <mergeCell ref="E459:E460"/>
    <mergeCell ref="A487:B487"/>
    <mergeCell ref="C487:E487"/>
    <mergeCell ref="G487:H487"/>
    <mergeCell ref="G481:H481"/>
    <mergeCell ref="A482:B482"/>
    <mergeCell ref="C482:E482"/>
    <mergeCell ref="G482:H482"/>
    <mergeCell ref="A486:B486"/>
    <mergeCell ref="C486:E486"/>
    <mergeCell ref="G486:H486"/>
    <mergeCell ref="G450:H450"/>
    <mergeCell ref="C424:H424"/>
    <mergeCell ref="C425:H425"/>
    <mergeCell ref="C426:H426"/>
    <mergeCell ref="A429:A430"/>
    <mergeCell ref="B429:B430"/>
    <mergeCell ref="C429:C430"/>
    <mergeCell ref="D429:D430"/>
    <mergeCell ref="E429:E430"/>
    <mergeCell ref="E393:E394"/>
    <mergeCell ref="A451:B451"/>
    <mergeCell ref="C451:E451"/>
    <mergeCell ref="G451:H451"/>
    <mergeCell ref="G445:H445"/>
    <mergeCell ref="A446:B446"/>
    <mergeCell ref="C446:E446"/>
    <mergeCell ref="G446:H446"/>
    <mergeCell ref="A450:B450"/>
    <mergeCell ref="C450:E450"/>
    <mergeCell ref="A417:B417"/>
    <mergeCell ref="C417:E417"/>
    <mergeCell ref="G417:H417"/>
    <mergeCell ref="C388:H388"/>
    <mergeCell ref="C389:H389"/>
    <mergeCell ref="C390:H390"/>
    <mergeCell ref="A393:A394"/>
    <mergeCell ref="B393:B394"/>
    <mergeCell ref="C393:C394"/>
    <mergeCell ref="D393:D394"/>
    <mergeCell ref="C302:H302"/>
    <mergeCell ref="C301:H301"/>
    <mergeCell ref="C266:H266"/>
    <mergeCell ref="A418:B418"/>
    <mergeCell ref="C418:E418"/>
    <mergeCell ref="G418:H418"/>
    <mergeCell ref="G412:H412"/>
    <mergeCell ref="A413:B413"/>
    <mergeCell ref="C413:E413"/>
    <mergeCell ref="G413:H413"/>
    <mergeCell ref="G327:H327"/>
    <mergeCell ref="A291:B291"/>
    <mergeCell ref="A295:B295"/>
    <mergeCell ref="C295:E295"/>
    <mergeCell ref="G295:H295"/>
    <mergeCell ref="A270:A271"/>
    <mergeCell ref="B270:B271"/>
    <mergeCell ref="C270:C271"/>
    <mergeCell ref="D270:D271"/>
    <mergeCell ref="E270:E271"/>
    <mergeCell ref="C303:H303"/>
    <mergeCell ref="A306:A307"/>
    <mergeCell ref="B306:B307"/>
    <mergeCell ref="C306:C307"/>
    <mergeCell ref="D306:D307"/>
    <mergeCell ref="E306:E307"/>
    <mergeCell ref="C304:H304"/>
    <mergeCell ref="G291:H291"/>
    <mergeCell ref="A328:B328"/>
    <mergeCell ref="C328:E328"/>
    <mergeCell ref="G328:H328"/>
    <mergeCell ref="A333:B333"/>
    <mergeCell ref="C333:E333"/>
    <mergeCell ref="G333:H333"/>
    <mergeCell ref="A332:B332"/>
    <mergeCell ref="C332:E332"/>
    <mergeCell ref="G332:H332"/>
    <mergeCell ref="E221:E222"/>
    <mergeCell ref="A296:B296"/>
    <mergeCell ref="C296:E296"/>
    <mergeCell ref="G296:H296"/>
    <mergeCell ref="E310:G310"/>
    <mergeCell ref="E311:G311"/>
    <mergeCell ref="C267:H267"/>
    <mergeCell ref="C268:H268"/>
    <mergeCell ref="G290:H290"/>
    <mergeCell ref="C291:E291"/>
    <mergeCell ref="A258:B258"/>
    <mergeCell ref="C258:E258"/>
    <mergeCell ref="G258:H258"/>
    <mergeCell ref="C216:H216"/>
    <mergeCell ref="C217:H217"/>
    <mergeCell ref="C218:H218"/>
    <mergeCell ref="A221:A222"/>
    <mergeCell ref="B221:B222"/>
    <mergeCell ref="C221:C222"/>
    <mergeCell ref="D221:D222"/>
    <mergeCell ref="C150:H150"/>
    <mergeCell ref="C149:H149"/>
    <mergeCell ref="C148:H148"/>
    <mergeCell ref="A259:B259"/>
    <mergeCell ref="C259:E259"/>
    <mergeCell ref="G259:H259"/>
    <mergeCell ref="G253:H253"/>
    <mergeCell ref="A254:B254"/>
    <mergeCell ref="C254:E254"/>
    <mergeCell ref="G254:H254"/>
    <mergeCell ref="G173:H173"/>
    <mergeCell ref="A153:A154"/>
    <mergeCell ref="B153:B154"/>
    <mergeCell ref="C153:C154"/>
    <mergeCell ref="D153:D154"/>
    <mergeCell ref="E153:E154"/>
    <mergeCell ref="A213:B213"/>
    <mergeCell ref="C213:E213"/>
    <mergeCell ref="G213:H213"/>
    <mergeCell ref="G207:H207"/>
    <mergeCell ref="A208:B208"/>
    <mergeCell ref="C208:E208"/>
    <mergeCell ref="G208:H208"/>
    <mergeCell ref="A212:B212"/>
    <mergeCell ref="C212:E212"/>
    <mergeCell ref="C3:H3"/>
    <mergeCell ref="C2:H2"/>
    <mergeCell ref="A143:B143"/>
    <mergeCell ref="C143:E143"/>
    <mergeCell ref="G143:H143"/>
    <mergeCell ref="G137:H137"/>
    <mergeCell ref="A138:B138"/>
    <mergeCell ref="C138:E138"/>
    <mergeCell ref="G138:H138"/>
    <mergeCell ref="A33:B33"/>
    <mergeCell ref="C33:E33"/>
    <mergeCell ref="G33:H33"/>
    <mergeCell ref="G32:H32"/>
    <mergeCell ref="A7:A8"/>
    <mergeCell ref="B7:B8"/>
    <mergeCell ref="C7:C8"/>
    <mergeCell ref="D7:D8"/>
    <mergeCell ref="E7:E8"/>
    <mergeCell ref="A38:B38"/>
    <mergeCell ref="C38:E38"/>
    <mergeCell ref="G38:H38"/>
    <mergeCell ref="A37:B37"/>
    <mergeCell ref="C37:E37"/>
    <mergeCell ref="D86:D87"/>
    <mergeCell ref="E86:E87"/>
    <mergeCell ref="C41:H41"/>
    <mergeCell ref="A72:B72"/>
    <mergeCell ref="C72:E72"/>
    <mergeCell ref="G72:H72"/>
    <mergeCell ref="A73:B73"/>
    <mergeCell ref="C73:E73"/>
    <mergeCell ref="G73:H73"/>
    <mergeCell ref="G37:H37"/>
    <mergeCell ref="E123:E124"/>
    <mergeCell ref="C81:H81"/>
    <mergeCell ref="C82:H82"/>
    <mergeCell ref="C83:H83"/>
    <mergeCell ref="A86:A87"/>
    <mergeCell ref="B86:B87"/>
    <mergeCell ref="C86:C87"/>
    <mergeCell ref="G142:H142"/>
    <mergeCell ref="C118:H118"/>
    <mergeCell ref="C119:H119"/>
    <mergeCell ref="C120:H120"/>
    <mergeCell ref="A123:A124"/>
    <mergeCell ref="B123:B124"/>
    <mergeCell ref="C123:C124"/>
    <mergeCell ref="D123:D124"/>
    <mergeCell ref="C4:H4"/>
    <mergeCell ref="F50:G50"/>
    <mergeCell ref="F51:G51"/>
    <mergeCell ref="G67:H67"/>
    <mergeCell ref="A68:B68"/>
    <mergeCell ref="C68:E68"/>
    <mergeCell ref="G68:H68"/>
    <mergeCell ref="C42:H42"/>
    <mergeCell ref="C43:H43"/>
    <mergeCell ref="A46:A47"/>
    <mergeCell ref="B46:B47"/>
    <mergeCell ref="C46:C47"/>
    <mergeCell ref="D46:D47"/>
    <mergeCell ref="E46:E47"/>
  </mergeCells>
  <printOptions horizontalCentered="1"/>
  <pageMargins left="0.11811023622047245" right="0.11811023622047245" top="0.6692913385826772" bottom="0.11811023622047245" header="1.1811023622047245" footer="0.19685039370078741"/>
  <pageSetup paperSize="256" scale="54" firstPageNumber="4294963191" orientation="portrait" horizontalDpi="4294967293" vertic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701"/>
  <sheetViews>
    <sheetView topLeftCell="A653" zoomScale="70" zoomScaleNormal="70" workbookViewId="0">
      <selection activeCell="K655" sqref="K655"/>
    </sheetView>
  </sheetViews>
  <sheetFormatPr defaultColWidth="9.109375" defaultRowHeight="12"/>
  <cols>
    <col min="1" max="1" width="4.5546875" style="1" customWidth="1"/>
    <col min="2" max="2" width="69.88671875" style="1" customWidth="1"/>
    <col min="3" max="3" width="13.5546875" style="1" bestFit="1" customWidth="1"/>
    <col min="4" max="4" width="8.44140625" style="1" customWidth="1"/>
    <col min="5" max="5" width="19.5546875" style="1" bestFit="1" customWidth="1"/>
    <col min="6" max="6" width="21.33203125" style="1" customWidth="1"/>
    <col min="7" max="7" width="21.44140625" style="1" bestFit="1" customWidth="1"/>
    <col min="8" max="8" width="18.88671875" style="1" customWidth="1"/>
    <col min="9" max="9" width="9.109375" style="1" customWidth="1"/>
    <col min="10" max="10" width="13.109375" style="1" customWidth="1"/>
    <col min="11" max="11" width="16" style="1" customWidth="1"/>
    <col min="12" max="12" width="7.109375" style="1" customWidth="1"/>
    <col min="13" max="13" width="49.33203125" style="1" customWidth="1"/>
    <col min="14" max="15" width="13.5546875" style="1" customWidth="1"/>
    <col min="16" max="16" width="19.44140625" style="1" customWidth="1"/>
    <col min="17" max="17" width="20.109375" style="1" customWidth="1"/>
    <col min="18" max="18" width="22.5546875" style="1" customWidth="1"/>
    <col min="19" max="16384" width="9.109375" style="1"/>
  </cols>
  <sheetData>
    <row r="1" spans="1:18" ht="15.6">
      <c r="A1" s="602"/>
      <c r="B1" s="602"/>
      <c r="C1" s="602"/>
      <c r="D1" s="602"/>
      <c r="E1" s="602"/>
      <c r="F1" s="51"/>
      <c r="G1" s="602"/>
      <c r="H1" s="602"/>
      <c r="L1" s="602"/>
      <c r="M1" s="602"/>
      <c r="N1" s="602"/>
      <c r="O1" s="602"/>
      <c r="P1" s="51"/>
      <c r="Q1" s="602"/>
      <c r="R1" s="602"/>
    </row>
    <row r="2" spans="1:18" ht="31.2">
      <c r="A2" s="597"/>
      <c r="B2" s="597"/>
      <c r="C2" s="1552" t="s">
        <v>235</v>
      </c>
      <c r="D2" s="1552"/>
      <c r="E2" s="1552"/>
      <c r="F2" s="1552"/>
      <c r="G2" s="1552"/>
      <c r="H2" s="1552"/>
      <c r="L2" s="597"/>
      <c r="M2" s="597"/>
      <c r="N2" s="1552" t="s">
        <v>235</v>
      </c>
      <c r="O2" s="1552"/>
      <c r="P2" s="1552"/>
      <c r="Q2" s="1552"/>
      <c r="R2" s="1552"/>
    </row>
    <row r="3" spans="1:18" ht="51" customHeight="1">
      <c r="A3" s="597"/>
      <c r="B3" s="597"/>
      <c r="C3" s="1525" t="s">
        <v>1763</v>
      </c>
      <c r="D3" s="1525"/>
      <c r="E3" s="1525"/>
      <c r="F3" s="1525"/>
      <c r="G3" s="1525"/>
      <c r="H3" s="1525"/>
      <c r="L3" s="597"/>
      <c r="M3" s="597"/>
      <c r="N3" s="1525" t="s">
        <v>1763</v>
      </c>
      <c r="O3" s="1525"/>
      <c r="P3" s="1525"/>
      <c r="Q3" s="1525"/>
      <c r="R3" s="1525"/>
    </row>
    <row r="4" spans="1:18" ht="49.5" customHeight="1">
      <c r="A4" s="830"/>
      <c r="B4" s="830"/>
      <c r="C4" s="1525" t="s">
        <v>1764</v>
      </c>
      <c r="D4" s="1525"/>
      <c r="E4" s="1525"/>
      <c r="F4" s="1525"/>
      <c r="G4" s="1525"/>
      <c r="H4" s="1525"/>
      <c r="L4" s="830"/>
      <c r="M4" s="830"/>
      <c r="N4" s="1525" t="s">
        <v>1764</v>
      </c>
      <c r="O4" s="1525"/>
      <c r="P4" s="1525"/>
      <c r="Q4" s="1525"/>
      <c r="R4" s="1525"/>
    </row>
    <row r="5" spans="1:18" ht="15.6">
      <c r="A5" s="769"/>
      <c r="B5" s="769"/>
      <c r="C5" s="769"/>
      <c r="D5" s="769"/>
      <c r="E5" s="769"/>
      <c r="F5" s="769"/>
      <c r="G5" s="769"/>
      <c r="H5" s="769"/>
      <c r="L5" s="769"/>
      <c r="M5" s="769"/>
      <c r="N5" s="769"/>
      <c r="O5" s="769"/>
      <c r="P5" s="769"/>
      <c r="Q5" s="769"/>
      <c r="R5" s="769"/>
    </row>
    <row r="6" spans="1:18" ht="15.6">
      <c r="A6" s="769"/>
      <c r="B6" s="769"/>
      <c r="C6" s="769"/>
      <c r="D6" s="769"/>
      <c r="E6" s="769"/>
      <c r="F6" s="769"/>
      <c r="G6" s="769"/>
      <c r="H6" s="769"/>
      <c r="L6" s="769"/>
      <c r="M6" s="769"/>
      <c r="N6" s="769"/>
      <c r="O6" s="769"/>
      <c r="P6" s="769"/>
      <c r="Q6" s="769"/>
      <c r="R6" s="769"/>
    </row>
    <row r="7" spans="1:18" ht="18">
      <c r="A7" s="1531" t="s">
        <v>3</v>
      </c>
      <c r="B7" s="1531" t="s">
        <v>4</v>
      </c>
      <c r="C7" s="1531" t="s">
        <v>5</v>
      </c>
      <c r="D7" s="1531" t="s">
        <v>6</v>
      </c>
      <c r="E7" s="1531" t="s">
        <v>7</v>
      </c>
      <c r="F7" s="1001" t="s">
        <v>8</v>
      </c>
      <c r="G7" s="1001" t="s">
        <v>9</v>
      </c>
      <c r="H7" s="1001" t="s">
        <v>10</v>
      </c>
      <c r="L7" s="1531" t="s">
        <v>3</v>
      </c>
      <c r="M7" s="1531" t="s">
        <v>4</v>
      </c>
      <c r="N7" s="1531" t="s">
        <v>5</v>
      </c>
      <c r="O7" s="1531" t="s">
        <v>6</v>
      </c>
      <c r="P7" s="1001" t="s">
        <v>8</v>
      </c>
      <c r="Q7" s="1001" t="s">
        <v>9</v>
      </c>
      <c r="R7" s="1001" t="s">
        <v>10</v>
      </c>
    </row>
    <row r="8" spans="1:18" ht="18">
      <c r="A8" s="1532"/>
      <c r="B8" s="1532"/>
      <c r="C8" s="1532"/>
      <c r="D8" s="1532"/>
      <c r="E8" s="1532"/>
      <c r="F8" s="1002" t="s">
        <v>11</v>
      </c>
      <c r="G8" s="1002" t="s">
        <v>11</v>
      </c>
      <c r="H8" s="1002" t="s">
        <v>11</v>
      </c>
      <c r="L8" s="1532"/>
      <c r="M8" s="1532"/>
      <c r="N8" s="1532"/>
      <c r="O8" s="1532"/>
      <c r="P8" s="1002" t="s">
        <v>11</v>
      </c>
      <c r="Q8" s="1002" t="s">
        <v>11</v>
      </c>
      <c r="R8" s="1002" t="s">
        <v>11</v>
      </c>
    </row>
    <row r="9" spans="1:18" ht="18">
      <c r="A9" s="1001" t="s">
        <v>12</v>
      </c>
      <c r="B9" s="1003" t="s">
        <v>364</v>
      </c>
      <c r="C9" s="1004"/>
      <c r="D9" s="1005"/>
      <c r="E9" s="1005"/>
      <c r="F9" s="1005"/>
      <c r="G9" s="1006"/>
      <c r="H9" s="1007"/>
      <c r="L9" s="1001" t="s">
        <v>12</v>
      </c>
      <c r="M9" s="1003" t="s">
        <v>364</v>
      </c>
      <c r="N9" s="1004"/>
      <c r="O9" s="1005"/>
      <c r="P9" s="1005"/>
      <c r="Q9" s="1006"/>
      <c r="R9" s="1007"/>
    </row>
    <row r="10" spans="1:18" ht="18">
      <c r="A10" s="1008"/>
      <c r="B10" s="1009" t="s">
        <v>1765</v>
      </c>
      <c r="C10" s="1010">
        <v>10</v>
      </c>
      <c r="D10" s="1011" t="s">
        <v>44</v>
      </c>
      <c r="E10" s="1011" t="s">
        <v>16</v>
      </c>
      <c r="F10" s="1022">
        <v>400000</v>
      </c>
      <c r="G10" s="1012">
        <f t="shared" ref="G10:G16" si="0">C10*F10</f>
        <v>4000000</v>
      </c>
      <c r="H10" s="1007"/>
      <c r="L10" s="1008"/>
      <c r="M10" s="1009" t="s">
        <v>1765</v>
      </c>
      <c r="N10" s="1010">
        <v>10</v>
      </c>
      <c r="O10" s="1011" t="s">
        <v>44</v>
      </c>
      <c r="P10" s="1022">
        <v>20000</v>
      </c>
      <c r="Q10" s="1012">
        <f t="shared" ref="Q10:Q16" si="1">N10*P10</f>
        <v>200000</v>
      </c>
      <c r="R10" s="1007"/>
    </row>
    <row r="11" spans="1:18" ht="18">
      <c r="A11" s="1008"/>
      <c r="B11" s="1009" t="s">
        <v>1766</v>
      </c>
      <c r="C11" s="1010">
        <v>5</v>
      </c>
      <c r="D11" s="1011" t="s">
        <v>44</v>
      </c>
      <c r="E11" s="1011" t="s">
        <v>16</v>
      </c>
      <c r="F11" s="1022">
        <v>571800</v>
      </c>
      <c r="G11" s="1012">
        <f t="shared" si="0"/>
        <v>2859000</v>
      </c>
      <c r="H11" s="1007"/>
      <c r="L11" s="1008"/>
      <c r="M11" s="1009" t="s">
        <v>1766</v>
      </c>
      <c r="N11" s="1010">
        <v>5</v>
      </c>
      <c r="O11" s="1011" t="s">
        <v>44</v>
      </c>
      <c r="P11" s="1022">
        <v>15000</v>
      </c>
      <c r="Q11" s="1012">
        <f t="shared" si="1"/>
        <v>75000</v>
      </c>
      <c r="R11" s="1007"/>
    </row>
    <row r="12" spans="1:18" ht="18">
      <c r="A12" s="1008"/>
      <c r="B12" s="1009" t="s">
        <v>1767</v>
      </c>
      <c r="C12" s="1010">
        <v>60</v>
      </c>
      <c r="D12" s="1011" t="s">
        <v>1772</v>
      </c>
      <c r="E12" s="1011" t="s">
        <v>16</v>
      </c>
      <c r="F12" s="1022">
        <v>130700</v>
      </c>
      <c r="G12" s="1012">
        <f t="shared" si="0"/>
        <v>7842000</v>
      </c>
      <c r="H12" s="1007"/>
      <c r="L12" s="1008"/>
      <c r="M12" s="1009" t="s">
        <v>1767</v>
      </c>
      <c r="N12" s="1010">
        <v>60</v>
      </c>
      <c r="O12" s="1011" t="s">
        <v>1772</v>
      </c>
      <c r="P12" s="1022">
        <v>75000</v>
      </c>
      <c r="Q12" s="1012">
        <f t="shared" si="1"/>
        <v>4500000</v>
      </c>
      <c r="R12" s="1007"/>
    </row>
    <row r="13" spans="1:18" ht="18">
      <c r="A13" s="1008"/>
      <c r="B13" s="1009" t="s">
        <v>1771</v>
      </c>
      <c r="C13" s="1010">
        <v>25</v>
      </c>
      <c r="D13" s="1011" t="s">
        <v>44</v>
      </c>
      <c r="E13" s="1011" t="s">
        <v>16</v>
      </c>
      <c r="F13" s="1022">
        <v>90000</v>
      </c>
      <c r="G13" s="1012">
        <f t="shared" si="0"/>
        <v>2250000</v>
      </c>
      <c r="H13" s="1007"/>
      <c r="L13" s="1008"/>
      <c r="M13" s="1009" t="s">
        <v>1771</v>
      </c>
      <c r="N13" s="1010">
        <v>25</v>
      </c>
      <c r="O13" s="1011" t="s">
        <v>1772</v>
      </c>
      <c r="P13" s="1022">
        <v>15000</v>
      </c>
      <c r="Q13" s="1012">
        <f t="shared" si="1"/>
        <v>375000</v>
      </c>
      <c r="R13" s="1007"/>
    </row>
    <row r="14" spans="1:18" ht="18">
      <c r="A14" s="1008"/>
      <c r="B14" s="1009" t="s">
        <v>1768</v>
      </c>
      <c r="C14" s="1010">
        <v>10</v>
      </c>
      <c r="D14" s="1011" t="s">
        <v>44</v>
      </c>
      <c r="E14" s="1011" t="s">
        <v>16</v>
      </c>
      <c r="F14" s="1022">
        <v>90000</v>
      </c>
      <c r="G14" s="1012">
        <f t="shared" si="0"/>
        <v>900000</v>
      </c>
      <c r="H14" s="1007"/>
      <c r="L14" s="1008"/>
      <c r="M14" s="1009" t="s">
        <v>1768</v>
      </c>
      <c r="N14" s="1010">
        <v>10</v>
      </c>
      <c r="O14" s="1011" t="s">
        <v>44</v>
      </c>
      <c r="P14" s="1022">
        <v>20000</v>
      </c>
      <c r="Q14" s="1012">
        <f t="shared" si="1"/>
        <v>200000</v>
      </c>
      <c r="R14" s="1007"/>
    </row>
    <row r="15" spans="1:18" ht="18">
      <c r="A15" s="1008"/>
      <c r="B15" s="1009" t="s">
        <v>1769</v>
      </c>
      <c r="C15" s="1010">
        <v>25</v>
      </c>
      <c r="D15" s="1011" t="s">
        <v>44</v>
      </c>
      <c r="E15" s="1011" t="s">
        <v>16</v>
      </c>
      <c r="F15" s="1022">
        <v>90000</v>
      </c>
      <c r="G15" s="1012">
        <f t="shared" si="0"/>
        <v>2250000</v>
      </c>
      <c r="H15" s="1007"/>
      <c r="L15" s="1008"/>
      <c r="M15" s="1009" t="s">
        <v>1769</v>
      </c>
      <c r="N15" s="1010">
        <v>25</v>
      </c>
      <c r="O15" s="1011" t="s">
        <v>44</v>
      </c>
      <c r="P15" s="1022">
        <v>4000</v>
      </c>
      <c r="Q15" s="1012">
        <f t="shared" si="1"/>
        <v>100000</v>
      </c>
      <c r="R15" s="1007"/>
    </row>
    <row r="16" spans="1:18" ht="18">
      <c r="A16" s="1008"/>
      <c r="B16" s="1009" t="s">
        <v>1770</v>
      </c>
      <c r="C16" s="1010">
        <v>10</v>
      </c>
      <c r="D16" s="1011" t="s">
        <v>44</v>
      </c>
      <c r="E16" s="1011" t="s">
        <v>16</v>
      </c>
      <c r="F16" s="1022">
        <v>90000</v>
      </c>
      <c r="G16" s="1012">
        <f t="shared" si="0"/>
        <v>900000</v>
      </c>
      <c r="H16" s="1007"/>
      <c r="L16" s="1008"/>
      <c r="M16" s="1009" t="s">
        <v>1770</v>
      </c>
      <c r="N16" s="1010">
        <v>10</v>
      </c>
      <c r="O16" s="1011" t="s">
        <v>44</v>
      </c>
      <c r="P16" s="1022">
        <v>15000</v>
      </c>
      <c r="Q16" s="1012">
        <f t="shared" si="1"/>
        <v>150000</v>
      </c>
      <c r="R16" s="1007"/>
    </row>
    <row r="17" spans="1:18" ht="18">
      <c r="A17" s="1013"/>
      <c r="B17" s="1014"/>
      <c r="C17" s="1015"/>
      <c r="D17" s="1016"/>
      <c r="E17" s="1016"/>
      <c r="F17" s="1017"/>
      <c r="G17" s="1017"/>
      <c r="H17" s="1018">
        <f>SUM(G10:G16)</f>
        <v>21001000</v>
      </c>
      <c r="L17" s="1013"/>
      <c r="M17" s="1014"/>
      <c r="N17" s="1015"/>
      <c r="O17" s="1016"/>
      <c r="P17" s="1017"/>
      <c r="Q17" s="1068" t="s">
        <v>1775</v>
      </c>
      <c r="R17" s="1018">
        <f>SUM(Q10:Q16)</f>
        <v>5600000</v>
      </c>
    </row>
    <row r="18" spans="1:18" ht="18">
      <c r="A18" s="1008" t="s">
        <v>18</v>
      </c>
      <c r="B18" s="1019" t="s">
        <v>19</v>
      </c>
      <c r="C18" s="1020"/>
      <c r="D18" s="1011"/>
      <c r="E18" s="1011"/>
      <c r="F18" s="1021"/>
      <c r="G18" s="1022"/>
      <c r="H18" s="1007"/>
      <c r="L18" s="1008" t="s">
        <v>18</v>
      </c>
      <c r="M18" s="1019" t="s">
        <v>19</v>
      </c>
      <c r="N18" s="1020"/>
      <c r="O18" s="1011"/>
      <c r="P18" s="1021"/>
      <c r="Q18" s="1022"/>
      <c r="R18" s="1007"/>
    </row>
    <row r="19" spans="1:18" ht="18">
      <c r="A19" s="1023"/>
      <c r="B19" s="1009" t="s">
        <v>1751</v>
      </c>
      <c r="C19" s="1010">
        <v>13</v>
      </c>
      <c r="D19" s="1011" t="s">
        <v>1665</v>
      </c>
      <c r="E19" s="1011" t="s">
        <v>82</v>
      </c>
      <c r="F19" s="1022">
        <v>214375</v>
      </c>
      <c r="G19" s="1022">
        <f t="shared" ref="G19:G24" si="2">F19*C19</f>
        <v>2786875</v>
      </c>
      <c r="H19" s="1007"/>
      <c r="L19" s="1023"/>
      <c r="M19" s="1009" t="s">
        <v>1773</v>
      </c>
      <c r="N19" s="1010">
        <v>2</v>
      </c>
      <c r="O19" s="1011" t="s">
        <v>1774</v>
      </c>
      <c r="P19" s="1022">
        <v>135000</v>
      </c>
      <c r="Q19" s="1022">
        <f>P19*15*2</f>
        <v>4050000</v>
      </c>
      <c r="R19" s="1007"/>
    </row>
    <row r="20" spans="1:18" ht="18">
      <c r="A20" s="1023"/>
      <c r="B20" s="1009" t="s">
        <v>1697</v>
      </c>
      <c r="C20" s="1010">
        <v>13</v>
      </c>
      <c r="D20" s="1011" t="s">
        <v>1665</v>
      </c>
      <c r="E20" s="1011" t="s">
        <v>82</v>
      </c>
      <c r="F20" s="1022">
        <v>53325</v>
      </c>
      <c r="G20" s="1022">
        <f t="shared" si="2"/>
        <v>693225</v>
      </c>
      <c r="H20" s="1007"/>
      <c r="L20" s="1023"/>
      <c r="M20" s="1009"/>
      <c r="N20" s="1010"/>
      <c r="O20" s="1011"/>
      <c r="P20" s="1022"/>
      <c r="Q20" s="1069" t="s">
        <v>1776</v>
      </c>
      <c r="R20" s="1018">
        <f>Q19</f>
        <v>4050000</v>
      </c>
    </row>
    <row r="21" spans="1:18" ht="18">
      <c r="A21" s="1023"/>
      <c r="B21" s="1009" t="s">
        <v>1698</v>
      </c>
      <c r="C21" s="1010">
        <v>1</v>
      </c>
      <c r="D21" s="1011" t="s">
        <v>897</v>
      </c>
      <c r="E21" s="1011" t="s">
        <v>51</v>
      </c>
      <c r="F21" s="1022">
        <v>250000</v>
      </c>
      <c r="G21" s="1022">
        <f t="shared" si="2"/>
        <v>250000</v>
      </c>
      <c r="H21" s="1007"/>
      <c r="L21" s="1025"/>
      <c r="M21" s="1026"/>
      <c r="N21" s="1027"/>
      <c r="O21" s="1028"/>
      <c r="P21" s="1029"/>
      <c r="Q21" s="1030"/>
      <c r="R21" s="1018"/>
    </row>
    <row r="22" spans="1:18" ht="18">
      <c r="A22" s="1023"/>
      <c r="B22" s="1009" t="s">
        <v>1699</v>
      </c>
      <c r="C22" s="1010">
        <v>1</v>
      </c>
      <c r="D22" s="1011" t="s">
        <v>1665</v>
      </c>
      <c r="E22" s="1011" t="s">
        <v>51</v>
      </c>
      <c r="F22" s="1022">
        <v>300000</v>
      </c>
      <c r="G22" s="1022">
        <f t="shared" si="2"/>
        <v>300000</v>
      </c>
      <c r="H22" s="1007"/>
      <c r="L22" s="1047"/>
      <c r="M22" s="1048"/>
      <c r="N22" s="1048"/>
      <c r="O22" s="1048"/>
      <c r="P22" s="1049"/>
      <c r="Q22" s="1050" t="s">
        <v>1758</v>
      </c>
      <c r="R22" s="1006">
        <f>R17+R20</f>
        <v>9650000</v>
      </c>
    </row>
    <row r="23" spans="1:18" ht="18">
      <c r="A23" s="1023"/>
      <c r="B23" s="1009" t="s">
        <v>1700</v>
      </c>
      <c r="C23" s="1010">
        <v>1</v>
      </c>
      <c r="D23" s="1011" t="s">
        <v>138</v>
      </c>
      <c r="E23" s="1011" t="s">
        <v>51</v>
      </c>
      <c r="F23" s="1022">
        <v>300000</v>
      </c>
      <c r="G23" s="1022">
        <f t="shared" si="2"/>
        <v>300000</v>
      </c>
      <c r="H23" s="1007"/>
      <c r="L23" s="1051"/>
      <c r="M23" s="1052"/>
      <c r="N23" s="1053"/>
      <c r="O23" s="1053"/>
      <c r="P23" s="1054"/>
      <c r="Q23" s="1055" t="s">
        <v>30</v>
      </c>
      <c r="R23" s="1056">
        <f>ROUND(R22,-3)</f>
        <v>9650000</v>
      </c>
    </row>
    <row r="24" spans="1:18" ht="18">
      <c r="A24" s="1023"/>
      <c r="B24" s="1009" t="s">
        <v>1752</v>
      </c>
      <c r="C24" s="1010">
        <v>1</v>
      </c>
      <c r="D24" s="1011" t="s">
        <v>138</v>
      </c>
      <c r="E24" s="1011" t="s">
        <v>51</v>
      </c>
      <c r="F24" s="1022">
        <v>1000000</v>
      </c>
      <c r="G24" s="1022">
        <f t="shared" si="2"/>
        <v>1000000</v>
      </c>
      <c r="H24" s="1007"/>
      <c r="L24" s="49"/>
      <c r="M24" s="49"/>
      <c r="N24" s="49"/>
      <c r="O24" s="49"/>
      <c r="P24" s="49"/>
      <c r="Q24" s="49"/>
      <c r="R24" s="50"/>
    </row>
    <row r="25" spans="1:18" ht="18">
      <c r="A25" s="1023"/>
      <c r="B25" s="1024"/>
      <c r="C25" s="1022"/>
      <c r="D25" s="1011"/>
      <c r="E25" s="1011"/>
      <c r="F25" s="1022"/>
      <c r="G25" s="1022"/>
      <c r="H25" s="1007"/>
      <c r="L25" s="768" t="s">
        <v>1150</v>
      </c>
      <c r="M25" s="49"/>
      <c r="N25" s="49"/>
      <c r="O25" s="49"/>
      <c r="P25" s="49"/>
      <c r="Q25" s="49"/>
      <c r="R25" s="50"/>
    </row>
    <row r="26" spans="1:18" ht="18">
      <c r="A26" s="1025"/>
      <c r="B26" s="1026"/>
      <c r="C26" s="1027"/>
      <c r="D26" s="1028"/>
      <c r="E26" s="1029"/>
      <c r="F26" s="1029" t="s">
        <v>25</v>
      </c>
      <c r="G26" s="1030">
        <f>SUM(G19:G24)</f>
        <v>5330100</v>
      </c>
      <c r="H26" s="1018"/>
      <c r="L26" s="49"/>
      <c r="M26" s="965" t="s">
        <v>1777</v>
      </c>
      <c r="N26" s="49"/>
      <c r="O26" s="49"/>
      <c r="P26" s="49"/>
      <c r="Q26" s="49"/>
      <c r="R26" s="50"/>
    </row>
    <row r="27" spans="1:18" ht="18">
      <c r="A27" s="1031"/>
      <c r="B27" s="1032"/>
      <c r="C27" s="1033"/>
      <c r="D27" s="1033"/>
      <c r="E27" s="1034"/>
      <c r="F27" s="1035" t="s">
        <v>1151</v>
      </c>
      <c r="G27" s="1036">
        <f>G26/10</f>
        <v>533010</v>
      </c>
      <c r="H27" s="1037"/>
      <c r="L27" s="49"/>
      <c r="M27" s="49"/>
      <c r="N27" s="49"/>
      <c r="O27" s="49"/>
      <c r="P27" s="49"/>
      <c r="Q27" s="49"/>
      <c r="R27" s="50"/>
    </row>
    <row r="28" spans="1:18" ht="18">
      <c r="A28" s="1038"/>
      <c r="B28" s="1039"/>
      <c r="C28" s="1040"/>
      <c r="D28" s="1040"/>
      <c r="E28" s="1041"/>
      <c r="F28" s="1042"/>
      <c r="G28" s="1043"/>
      <c r="H28" s="1044">
        <f>G26+G27</f>
        <v>5863110</v>
      </c>
      <c r="L28" s="51"/>
      <c r="M28" s="51"/>
      <c r="N28" s="51"/>
      <c r="O28" s="51"/>
      <c r="P28" s="51"/>
      <c r="Q28" s="1530" t="s">
        <v>1756</v>
      </c>
      <c r="R28" s="1530"/>
    </row>
    <row r="29" spans="1:18" ht="18">
      <c r="A29" s="1031"/>
      <c r="B29" s="1032"/>
      <c r="C29" s="1033"/>
      <c r="D29" s="1033"/>
      <c r="E29" s="1034"/>
      <c r="F29" s="1035"/>
      <c r="G29" s="1045"/>
      <c r="H29" s="1046"/>
      <c r="L29" s="1530" t="s">
        <v>31</v>
      </c>
      <c r="M29" s="1530"/>
      <c r="N29" s="1530" t="s">
        <v>32</v>
      </c>
      <c r="O29" s="1530"/>
      <c r="P29" s="1530"/>
      <c r="Q29" s="1530" t="s">
        <v>33</v>
      </c>
      <c r="R29" s="1530"/>
    </row>
    <row r="30" spans="1:18" ht="18">
      <c r="A30" s="1047"/>
      <c r="B30" s="1048"/>
      <c r="C30" s="1048"/>
      <c r="D30" s="1048"/>
      <c r="E30" s="1048"/>
      <c r="F30" s="1049"/>
      <c r="G30" s="1050" t="s">
        <v>28</v>
      </c>
      <c r="H30" s="1006">
        <f>H28+H17</f>
        <v>26864110</v>
      </c>
      <c r="L30" s="958"/>
      <c r="M30" s="958"/>
      <c r="N30" s="958"/>
      <c r="O30" s="958"/>
      <c r="P30" s="958"/>
      <c r="Q30" s="958"/>
      <c r="R30" s="958"/>
    </row>
    <row r="31" spans="1:18" ht="18">
      <c r="A31" s="1051"/>
      <c r="B31" s="1052"/>
      <c r="C31" s="1053"/>
      <c r="D31" s="1053"/>
      <c r="E31" s="1053"/>
      <c r="F31" s="1054"/>
      <c r="G31" s="1055" t="s">
        <v>30</v>
      </c>
      <c r="H31" s="1056">
        <f>ROUND(H30,-3)</f>
        <v>26864000</v>
      </c>
      <c r="L31" s="958"/>
      <c r="M31" s="958"/>
      <c r="N31" s="958"/>
      <c r="O31" s="958"/>
      <c r="P31" s="958"/>
      <c r="Q31" s="958"/>
      <c r="R31" s="958"/>
    </row>
    <row r="32" spans="1:18" ht="18">
      <c r="A32" s="49"/>
      <c r="B32" s="49"/>
      <c r="C32" s="49"/>
      <c r="D32" s="49"/>
      <c r="E32" s="49"/>
      <c r="F32" s="49"/>
      <c r="G32" s="49"/>
      <c r="H32" s="50"/>
      <c r="L32" s="958"/>
      <c r="M32" s="958"/>
      <c r="N32" s="958"/>
      <c r="O32" s="958"/>
      <c r="P32" s="958"/>
      <c r="Q32" s="958"/>
      <c r="R32" s="958"/>
    </row>
    <row r="33" spans="1:18" ht="18">
      <c r="A33" s="768" t="s">
        <v>1150</v>
      </c>
      <c r="B33" s="49"/>
      <c r="C33" s="49"/>
      <c r="D33" s="49"/>
      <c r="E33" s="49"/>
      <c r="F33" s="49"/>
      <c r="G33" s="49"/>
      <c r="H33" s="50"/>
      <c r="L33" s="1529" t="s">
        <v>1622</v>
      </c>
      <c r="M33" s="1529"/>
      <c r="N33" s="1529" t="s">
        <v>1603</v>
      </c>
      <c r="O33" s="1529"/>
      <c r="P33" s="1529"/>
      <c r="Q33" s="1529" t="s">
        <v>1661</v>
      </c>
      <c r="R33" s="1529"/>
    </row>
    <row r="34" spans="1:18" ht="18">
      <c r="A34" s="49"/>
      <c r="B34" s="965" t="s">
        <v>1753</v>
      </c>
      <c r="C34" s="49"/>
      <c r="D34" s="49"/>
      <c r="E34" s="49"/>
      <c r="F34" s="49"/>
      <c r="G34" s="49"/>
      <c r="H34" s="50"/>
      <c r="L34" s="1530" t="s">
        <v>37</v>
      </c>
      <c r="M34" s="1530"/>
      <c r="N34" s="1530" t="s">
        <v>1604</v>
      </c>
      <c r="O34" s="1530"/>
      <c r="P34" s="1530"/>
      <c r="Q34" s="1530" t="s">
        <v>39</v>
      </c>
      <c r="R34" s="1530"/>
    </row>
    <row r="35" spans="1:18" ht="18">
      <c r="A35" s="49"/>
      <c r="B35" s="49"/>
      <c r="C35" s="49"/>
      <c r="D35" s="49"/>
      <c r="E35" s="49"/>
      <c r="F35" s="49"/>
      <c r="G35" s="49"/>
      <c r="H35" s="50"/>
      <c r="L35" s="958"/>
      <c r="M35" s="958"/>
      <c r="N35" s="958"/>
      <c r="O35" s="958"/>
      <c r="P35" s="958"/>
      <c r="Q35" s="958"/>
      <c r="R35" s="958"/>
    </row>
    <row r="36" spans="1:18" ht="18">
      <c r="A36" s="51"/>
      <c r="B36" s="51"/>
      <c r="C36" s="51"/>
      <c r="D36" s="51"/>
      <c r="E36" s="51"/>
      <c r="F36" s="51"/>
      <c r="G36" s="1530" t="s">
        <v>1677</v>
      </c>
      <c r="H36" s="1530"/>
      <c r="L36" s="1529"/>
      <c r="M36" s="1529"/>
      <c r="N36" s="1529"/>
      <c r="O36" s="1529"/>
      <c r="P36" s="1529"/>
      <c r="Q36" s="1529"/>
      <c r="R36" s="1529"/>
    </row>
    <row r="37" spans="1:18" ht="18">
      <c r="A37" s="1530" t="s">
        <v>31</v>
      </c>
      <c r="B37" s="1530"/>
      <c r="C37" s="1530" t="s">
        <v>32</v>
      </c>
      <c r="D37" s="1530"/>
      <c r="E37" s="1530"/>
      <c r="F37" s="958"/>
      <c r="G37" s="1530" t="s">
        <v>33</v>
      </c>
      <c r="H37" s="1530"/>
      <c r="L37" s="1530"/>
      <c r="M37" s="1530"/>
      <c r="N37" s="1530"/>
      <c r="O37" s="1530"/>
      <c r="P37" s="1530"/>
      <c r="Q37" s="1530"/>
      <c r="R37" s="1530"/>
    </row>
    <row r="38" spans="1:18" ht="18">
      <c r="A38" s="958"/>
      <c r="B38" s="958"/>
      <c r="C38" s="958"/>
      <c r="D38" s="958"/>
      <c r="E38" s="958"/>
      <c r="F38" s="958"/>
      <c r="G38" s="958"/>
      <c r="H38" s="958"/>
      <c r="L38" s="958"/>
      <c r="M38" s="958"/>
      <c r="N38" s="958"/>
      <c r="O38" s="958"/>
      <c r="P38" s="958"/>
      <c r="Q38" s="958"/>
      <c r="R38" s="958"/>
    </row>
    <row r="39" spans="1:18" ht="18">
      <c r="A39" s="958"/>
      <c r="B39" s="958"/>
      <c r="C39" s="958"/>
      <c r="D39" s="958"/>
      <c r="E39" s="958"/>
      <c r="F39" s="958"/>
      <c r="G39" s="958"/>
      <c r="H39" s="958"/>
      <c r="L39" s="958"/>
      <c r="M39" s="958"/>
      <c r="N39" s="958"/>
      <c r="O39" s="958"/>
      <c r="P39" s="958"/>
      <c r="Q39" s="958"/>
      <c r="R39" s="958"/>
    </row>
    <row r="40" spans="1:18" ht="18">
      <c r="A40" s="958"/>
      <c r="B40" s="958"/>
      <c r="C40" s="958"/>
      <c r="D40" s="958"/>
      <c r="E40" s="958"/>
      <c r="F40" s="958"/>
      <c r="G40" s="958"/>
      <c r="H40" s="958"/>
      <c r="L40" s="958"/>
      <c r="M40" s="958"/>
      <c r="N40" s="958"/>
      <c r="O40" s="958"/>
      <c r="P40" s="958"/>
      <c r="Q40" s="958"/>
      <c r="R40" s="958"/>
    </row>
    <row r="41" spans="1:18" ht="18">
      <c r="A41" s="1529" t="s">
        <v>1622</v>
      </c>
      <c r="B41" s="1529"/>
      <c r="C41" s="1529" t="s">
        <v>1603</v>
      </c>
      <c r="D41" s="1529"/>
      <c r="E41" s="1529"/>
      <c r="F41" s="958"/>
      <c r="G41" s="1529" t="s">
        <v>1661</v>
      </c>
      <c r="H41" s="1529"/>
      <c r="L41" s="1529"/>
      <c r="M41" s="1529"/>
      <c r="N41" s="1529"/>
      <c r="O41" s="1529"/>
      <c r="P41" s="958"/>
      <c r="Q41" s="1529"/>
      <c r="R41" s="1529"/>
    </row>
    <row r="42" spans="1:18" ht="18">
      <c r="A42" s="1530" t="s">
        <v>37</v>
      </c>
      <c r="B42" s="1530"/>
      <c r="C42" s="1530" t="s">
        <v>1604</v>
      </c>
      <c r="D42" s="1530"/>
      <c r="E42" s="1530"/>
      <c r="F42" s="958"/>
      <c r="G42" s="1530" t="s">
        <v>39</v>
      </c>
      <c r="H42" s="1530"/>
      <c r="L42" s="1530"/>
      <c r="M42" s="1530"/>
      <c r="N42" s="1530"/>
      <c r="O42" s="1530"/>
      <c r="P42" s="958"/>
      <c r="Q42" s="1530"/>
      <c r="R42" s="1530"/>
    </row>
    <row r="78" spans="1:8" ht="28.8">
      <c r="A78" s="597"/>
      <c r="B78" s="597"/>
      <c r="C78" s="1513" t="s">
        <v>1705</v>
      </c>
      <c r="D78" s="1513"/>
      <c r="E78" s="1513"/>
      <c r="F78" s="1513"/>
      <c r="G78" s="1513"/>
      <c r="H78" s="1513"/>
    </row>
    <row r="79" spans="1:8" ht="28.8">
      <c r="A79" s="597"/>
      <c r="B79" s="597"/>
      <c r="C79" s="1541" t="s">
        <v>1706</v>
      </c>
      <c r="D79" s="1541"/>
      <c r="E79" s="1541"/>
      <c r="F79" s="1541"/>
      <c r="G79" s="1541"/>
      <c r="H79" s="1541"/>
    </row>
    <row r="80" spans="1:8" ht="23.4">
      <c r="A80" s="830"/>
      <c r="B80" s="830"/>
      <c r="C80" s="1537"/>
      <c r="D80" s="1537"/>
      <c r="E80" s="1537"/>
      <c r="F80" s="1537"/>
      <c r="G80" s="1537"/>
      <c r="H80" s="1537"/>
    </row>
    <row r="81" spans="1:8" ht="15.6">
      <c r="A81" s="769"/>
      <c r="B81" s="769"/>
      <c r="C81" s="769"/>
      <c r="D81" s="769"/>
      <c r="E81" s="769"/>
      <c r="F81" s="769"/>
      <c r="G81" s="769"/>
      <c r="H81" s="769"/>
    </row>
    <row r="82" spans="1:8" ht="15.6">
      <c r="A82" s="769"/>
      <c r="B82" s="769"/>
      <c r="C82" s="769"/>
      <c r="D82" s="769"/>
      <c r="E82" s="769"/>
      <c r="F82" s="769"/>
      <c r="G82" s="769"/>
      <c r="H82" s="769"/>
    </row>
    <row r="83" spans="1:8" ht="15.6">
      <c r="A83" s="1516" t="s">
        <v>3</v>
      </c>
      <c r="B83" s="1516" t="s">
        <v>4</v>
      </c>
      <c r="C83" s="1516" t="s">
        <v>5</v>
      </c>
      <c r="D83" s="1516" t="s">
        <v>6</v>
      </c>
      <c r="E83" s="1516" t="s">
        <v>7</v>
      </c>
      <c r="F83" s="770" t="s">
        <v>8</v>
      </c>
      <c r="G83" s="770" t="s">
        <v>9</v>
      </c>
      <c r="H83" s="770" t="s">
        <v>10</v>
      </c>
    </row>
    <row r="84" spans="1:8" ht="15.6">
      <c r="A84" s="1517"/>
      <c r="B84" s="1517"/>
      <c r="C84" s="1517"/>
      <c r="D84" s="1517"/>
      <c r="E84" s="1517"/>
      <c r="F84" s="771" t="s">
        <v>11</v>
      </c>
      <c r="G84" s="771" t="s">
        <v>11</v>
      </c>
      <c r="H84" s="771" t="s">
        <v>11</v>
      </c>
    </row>
    <row r="85" spans="1:8" ht="15.6">
      <c r="A85" s="770"/>
      <c r="B85" s="772"/>
      <c r="C85" s="773"/>
      <c r="D85" s="774"/>
      <c r="E85" s="774"/>
      <c r="F85" s="774"/>
      <c r="G85" s="775"/>
      <c r="H85" s="776"/>
    </row>
    <row r="86" spans="1:8" ht="15.6">
      <c r="A86" s="786" t="s">
        <v>12</v>
      </c>
      <c r="B86" s="778" t="s">
        <v>1707</v>
      </c>
      <c r="C86" s="779">
        <v>1</v>
      </c>
      <c r="D86" s="780" t="s">
        <v>21</v>
      </c>
      <c r="E86" s="780" t="s">
        <v>16</v>
      </c>
      <c r="F86" s="791">
        <v>1250000</v>
      </c>
      <c r="G86" s="791">
        <f>F86*C86</f>
        <v>1250000</v>
      </c>
      <c r="H86" s="971"/>
    </row>
    <row r="87" spans="1:8" ht="15.6">
      <c r="A87" s="786"/>
      <c r="B87" s="778" t="s">
        <v>1708</v>
      </c>
      <c r="C87" s="779"/>
      <c r="D87" s="780"/>
      <c r="E87" s="780"/>
      <c r="F87" s="780"/>
      <c r="G87" s="986"/>
      <c r="H87" s="971"/>
    </row>
    <row r="88" spans="1:8" ht="15.6">
      <c r="A88" s="786"/>
      <c r="B88" s="778" t="s">
        <v>1709</v>
      </c>
      <c r="C88" s="779"/>
      <c r="D88" s="780"/>
      <c r="E88" s="780"/>
      <c r="F88" s="791"/>
      <c r="G88" s="791"/>
      <c r="H88" s="971"/>
    </row>
    <row r="89" spans="1:8" ht="15.6">
      <c r="A89" s="786"/>
      <c r="B89" s="778" t="s">
        <v>1710</v>
      </c>
      <c r="C89" s="779"/>
      <c r="D89" s="780"/>
      <c r="E89" s="780"/>
      <c r="F89" s="780"/>
      <c r="G89" s="986"/>
      <c r="H89" s="971"/>
    </row>
    <row r="90" spans="1:8" ht="15.6">
      <c r="A90" s="786"/>
      <c r="B90" s="778" t="s">
        <v>1711</v>
      </c>
      <c r="C90" s="779"/>
      <c r="D90" s="780"/>
      <c r="E90" s="780"/>
      <c r="F90" s="791"/>
      <c r="G90" s="791"/>
      <c r="H90" s="971"/>
    </row>
    <row r="91" spans="1:8" ht="15.6">
      <c r="A91" s="786"/>
      <c r="B91" s="778" t="s">
        <v>1712</v>
      </c>
      <c r="C91" s="779"/>
      <c r="D91" s="780"/>
      <c r="E91" s="780"/>
      <c r="F91" s="791"/>
      <c r="G91" s="791"/>
      <c r="H91" s="971"/>
    </row>
    <row r="92" spans="1:8" ht="15.6">
      <c r="A92" s="790"/>
      <c r="B92" s="777"/>
      <c r="C92" s="788"/>
      <c r="D92" s="780"/>
      <c r="E92" s="780"/>
      <c r="F92" s="788"/>
      <c r="G92" s="788"/>
      <c r="H92" s="789"/>
    </row>
    <row r="93" spans="1:8" ht="15.6">
      <c r="A93" s="793"/>
      <c r="B93" s="783"/>
      <c r="C93" s="794"/>
      <c r="D93" s="795"/>
      <c r="E93" s="811"/>
      <c r="F93" s="811" t="s">
        <v>25</v>
      </c>
      <c r="G93" s="813">
        <f>G86</f>
        <v>1250000</v>
      </c>
      <c r="H93" s="810"/>
    </row>
    <row r="94" spans="1:8" ht="15.6">
      <c r="A94" s="820"/>
      <c r="B94" s="821"/>
      <c r="C94" s="822"/>
      <c r="D94" s="822"/>
      <c r="E94" s="823"/>
      <c r="F94" s="819" t="s">
        <v>1151</v>
      </c>
      <c r="G94" s="964"/>
      <c r="H94" s="825"/>
    </row>
    <row r="95" spans="1:8" ht="15.6">
      <c r="A95" s="796"/>
      <c r="B95" s="797"/>
      <c r="C95" s="784"/>
      <c r="D95" s="784"/>
      <c r="E95" s="785"/>
      <c r="F95" s="812"/>
      <c r="G95" s="798"/>
      <c r="H95" s="826">
        <f>G93+G94</f>
        <v>1250000</v>
      </c>
    </row>
    <row r="96" spans="1:8" ht="15.6">
      <c r="A96" s="820"/>
      <c r="B96" s="821"/>
      <c r="C96" s="822"/>
      <c r="D96" s="822"/>
      <c r="E96" s="823"/>
      <c r="F96" s="819"/>
      <c r="G96" s="824"/>
      <c r="H96" s="827"/>
    </row>
    <row r="97" spans="1:8" ht="15.6">
      <c r="A97" s="799"/>
      <c r="B97" s="800"/>
      <c r="C97" s="800"/>
      <c r="D97" s="800"/>
      <c r="E97" s="800"/>
      <c r="F97" s="801"/>
      <c r="G97" s="828" t="s">
        <v>28</v>
      </c>
      <c r="H97" s="775">
        <f>H95</f>
        <v>1250000</v>
      </c>
    </row>
    <row r="98" spans="1:8" ht="15.6">
      <c r="A98" s="802"/>
      <c r="B98" s="803"/>
      <c r="C98" s="804"/>
      <c r="D98" s="804"/>
      <c r="E98" s="804"/>
      <c r="F98" s="805"/>
      <c r="G98" s="829" t="s">
        <v>30</v>
      </c>
      <c r="H98" s="807">
        <f>ROUND(H97,-3)</f>
        <v>1250000</v>
      </c>
    </row>
    <row r="99" spans="1:8" ht="15.6">
      <c r="A99" s="49"/>
      <c r="B99" s="49"/>
      <c r="C99" s="49"/>
      <c r="D99" s="49"/>
      <c r="E99" s="49"/>
      <c r="F99" s="49"/>
      <c r="G99" s="49"/>
      <c r="H99" s="50"/>
    </row>
    <row r="100" spans="1:8" ht="18">
      <c r="A100" s="768" t="s">
        <v>1150</v>
      </c>
      <c r="B100" s="49"/>
      <c r="C100" s="49"/>
      <c r="D100" s="49"/>
      <c r="E100" s="49"/>
      <c r="F100" s="49"/>
      <c r="G100" s="49"/>
      <c r="H100" s="50"/>
    </row>
    <row r="101" spans="1:8" ht="17.399999999999999">
      <c r="A101" s="49"/>
      <c r="B101" s="965" t="s">
        <v>1643</v>
      </c>
      <c r="C101" s="49"/>
      <c r="D101" s="49"/>
      <c r="E101" s="49"/>
      <c r="F101" s="49"/>
      <c r="G101" s="49"/>
      <c r="H101" s="50"/>
    </row>
    <row r="102" spans="1:8" ht="15.6">
      <c r="A102" s="49"/>
      <c r="B102" s="49"/>
      <c r="C102" s="49"/>
      <c r="D102" s="49"/>
      <c r="E102" s="49"/>
      <c r="F102" s="49"/>
      <c r="G102" s="49"/>
      <c r="H102" s="50"/>
    </row>
    <row r="103" spans="1:8" ht="15.6">
      <c r="A103" s="51"/>
      <c r="B103" s="51"/>
      <c r="C103" s="51"/>
      <c r="D103" s="51"/>
      <c r="E103" s="51"/>
      <c r="F103" s="51"/>
      <c r="G103" s="1509" t="s">
        <v>1677</v>
      </c>
      <c r="H103" s="1509"/>
    </row>
    <row r="104" spans="1:8" ht="15.6">
      <c r="A104" s="1509" t="s">
        <v>31</v>
      </c>
      <c r="B104" s="1509"/>
      <c r="C104" s="1509" t="s">
        <v>32</v>
      </c>
      <c r="D104" s="1509"/>
      <c r="E104" s="1509"/>
      <c r="F104" s="51"/>
      <c r="G104" s="1509" t="s">
        <v>33</v>
      </c>
      <c r="H104" s="1509"/>
    </row>
    <row r="105" spans="1:8" ht="15.6">
      <c r="A105" s="51"/>
      <c r="B105" s="51"/>
      <c r="C105" s="51"/>
      <c r="D105" s="51"/>
      <c r="E105" s="51"/>
      <c r="F105" s="51"/>
      <c r="G105" s="51"/>
      <c r="H105" s="51"/>
    </row>
    <row r="106" spans="1:8" ht="15.6">
      <c r="A106" s="51"/>
      <c r="B106" s="51"/>
      <c r="C106" s="51"/>
      <c r="D106" s="51"/>
      <c r="E106" s="51"/>
      <c r="F106" s="51"/>
      <c r="G106" s="51"/>
      <c r="H106" s="51"/>
    </row>
    <row r="107" spans="1:8" ht="15.6">
      <c r="A107" s="51"/>
      <c r="B107" s="51"/>
      <c r="C107" s="51"/>
      <c r="D107" s="51"/>
      <c r="E107" s="51"/>
      <c r="F107" s="51"/>
      <c r="G107" s="51"/>
      <c r="H107" s="51"/>
    </row>
    <row r="108" spans="1:8" ht="15.6">
      <c r="A108" s="1512" t="s">
        <v>1622</v>
      </c>
      <c r="B108" s="1512"/>
      <c r="C108" s="1512" t="s">
        <v>1603</v>
      </c>
      <c r="D108" s="1512"/>
      <c r="E108" s="1512"/>
      <c r="F108" s="51"/>
      <c r="G108" s="1512" t="s">
        <v>1661</v>
      </c>
      <c r="H108" s="1512"/>
    </row>
    <row r="109" spans="1:8" ht="15.6">
      <c r="A109" s="1509" t="s">
        <v>37</v>
      </c>
      <c r="B109" s="1509"/>
      <c r="C109" s="1509" t="s">
        <v>1604</v>
      </c>
      <c r="D109" s="1509"/>
      <c r="E109" s="1509"/>
      <c r="F109" s="51"/>
      <c r="G109" s="1509" t="s">
        <v>39</v>
      </c>
      <c r="H109" s="1509"/>
    </row>
    <row r="110" spans="1:8" ht="15.6">
      <c r="A110" s="602"/>
      <c r="B110" s="602"/>
      <c r="C110" s="602"/>
      <c r="D110" s="602"/>
      <c r="E110" s="602"/>
      <c r="F110" s="51"/>
      <c r="G110" s="602"/>
      <c r="H110" s="602"/>
    </row>
    <row r="111" spans="1:8" ht="31.2">
      <c r="A111" s="597"/>
      <c r="B111" s="597"/>
      <c r="C111" s="1552" t="s">
        <v>235</v>
      </c>
      <c r="D111" s="1552"/>
      <c r="E111" s="1552"/>
      <c r="F111" s="1552"/>
      <c r="G111" s="1552"/>
      <c r="H111" s="1552"/>
    </row>
    <row r="112" spans="1:8" ht="28.8">
      <c r="A112" s="597"/>
      <c r="B112" s="597"/>
      <c r="C112" s="1525" t="s">
        <v>1696</v>
      </c>
      <c r="D112" s="1525"/>
      <c r="E112" s="1525"/>
      <c r="F112" s="1525"/>
      <c r="G112" s="1525"/>
      <c r="H112" s="1525"/>
    </row>
    <row r="113" spans="1:8" ht="25.8">
      <c r="A113" s="830"/>
      <c r="B113" s="830"/>
      <c r="C113" s="1526" t="s">
        <v>1302</v>
      </c>
      <c r="D113" s="1526"/>
      <c r="E113" s="1526"/>
      <c r="F113" s="1526"/>
      <c r="G113" s="1526"/>
      <c r="H113" s="1526"/>
    </row>
    <row r="114" spans="1:8" ht="15.6">
      <c r="A114" s="769"/>
      <c r="B114" s="769"/>
      <c r="C114" s="769"/>
      <c r="D114" s="769"/>
      <c r="E114" s="769"/>
      <c r="F114" s="769"/>
      <c r="G114" s="769"/>
      <c r="H114" s="769"/>
    </row>
    <row r="115" spans="1:8" ht="15.6">
      <c r="A115" s="769"/>
      <c r="B115" s="769"/>
      <c r="C115" s="769"/>
      <c r="D115" s="769"/>
      <c r="E115" s="769"/>
      <c r="F115" s="769"/>
      <c r="G115" s="769"/>
      <c r="H115" s="769"/>
    </row>
    <row r="116" spans="1:8" ht="18">
      <c r="A116" s="1531" t="s">
        <v>3</v>
      </c>
      <c r="B116" s="1531" t="s">
        <v>4</v>
      </c>
      <c r="C116" s="1531" t="s">
        <v>5</v>
      </c>
      <c r="D116" s="1531" t="s">
        <v>6</v>
      </c>
      <c r="E116" s="1531" t="s">
        <v>7</v>
      </c>
      <c r="F116" s="1001" t="s">
        <v>8</v>
      </c>
      <c r="G116" s="1001" t="s">
        <v>9</v>
      </c>
      <c r="H116" s="1001" t="s">
        <v>10</v>
      </c>
    </row>
    <row r="117" spans="1:8" ht="18">
      <c r="A117" s="1532"/>
      <c r="B117" s="1532"/>
      <c r="C117" s="1532"/>
      <c r="D117" s="1532"/>
      <c r="E117" s="1532"/>
      <c r="F117" s="1002" t="s">
        <v>11</v>
      </c>
      <c r="G117" s="1002" t="s">
        <v>11</v>
      </c>
      <c r="H117" s="1002" t="s">
        <v>11</v>
      </c>
    </row>
    <row r="118" spans="1:8" ht="18">
      <c r="A118" s="1001" t="s">
        <v>12</v>
      </c>
      <c r="B118" s="1003" t="s">
        <v>364</v>
      </c>
      <c r="C118" s="1004"/>
      <c r="D118" s="1005"/>
      <c r="E118" s="1005"/>
      <c r="F118" s="1005"/>
      <c r="G118" s="1006"/>
      <c r="H118" s="1007"/>
    </row>
    <row r="119" spans="1:8" ht="18">
      <c r="A119" s="1008"/>
      <c r="B119" s="1009" t="s">
        <v>1750</v>
      </c>
      <c r="C119" s="1010">
        <v>12</v>
      </c>
      <c r="D119" s="1011" t="s">
        <v>1665</v>
      </c>
      <c r="E119" s="1011" t="s">
        <v>16</v>
      </c>
      <c r="F119" s="1022">
        <v>400000</v>
      </c>
      <c r="G119" s="1012">
        <f>C119*F119</f>
        <v>4800000</v>
      </c>
      <c r="H119" s="1007"/>
    </row>
    <row r="120" spans="1:8" ht="18">
      <c r="A120" s="1008"/>
      <c r="B120" s="1009" t="s">
        <v>1701</v>
      </c>
      <c r="C120" s="1010">
        <v>4</v>
      </c>
      <c r="D120" s="1011" t="s">
        <v>44</v>
      </c>
      <c r="E120" s="1011" t="s">
        <v>16</v>
      </c>
      <c r="F120" s="1022">
        <v>571800</v>
      </c>
      <c r="G120" s="1012">
        <f>C120*F120</f>
        <v>2287200</v>
      </c>
      <c r="H120" s="1007"/>
    </row>
    <row r="121" spans="1:8" ht="18">
      <c r="A121" s="1008"/>
      <c r="B121" s="1009" t="s">
        <v>1702</v>
      </c>
      <c r="C121" s="1010">
        <v>6</v>
      </c>
      <c r="D121" s="1011" t="s">
        <v>44</v>
      </c>
      <c r="E121" s="1011" t="s">
        <v>16</v>
      </c>
      <c r="F121" s="1022">
        <v>130700</v>
      </c>
      <c r="G121" s="1012">
        <f>C121*F121</f>
        <v>784200</v>
      </c>
      <c r="H121" s="1007"/>
    </row>
    <row r="122" spans="1:8" ht="18">
      <c r="A122" s="1008"/>
      <c r="B122" s="1009" t="s">
        <v>1703</v>
      </c>
      <c r="C122" s="1010">
        <v>4</v>
      </c>
      <c r="D122" s="1011" t="s">
        <v>44</v>
      </c>
      <c r="E122" s="1011" t="s">
        <v>16</v>
      </c>
      <c r="F122" s="1022">
        <v>90000</v>
      </c>
      <c r="G122" s="1012">
        <f>C122*F122</f>
        <v>360000</v>
      </c>
      <c r="H122" s="1007"/>
    </row>
    <row r="123" spans="1:8" ht="18">
      <c r="A123" s="1008"/>
      <c r="B123" s="1009" t="s">
        <v>1704</v>
      </c>
      <c r="C123" s="1010">
        <v>24</v>
      </c>
      <c r="D123" s="1011" t="s">
        <v>44</v>
      </c>
      <c r="E123" s="1011" t="s">
        <v>16</v>
      </c>
      <c r="F123" s="1022">
        <v>4600</v>
      </c>
      <c r="G123" s="1012">
        <f>C123*F123</f>
        <v>110400</v>
      </c>
      <c r="H123" s="1007"/>
    </row>
    <row r="124" spans="1:8" ht="18">
      <c r="A124" s="1013"/>
      <c r="B124" s="1014"/>
      <c r="C124" s="1015"/>
      <c r="D124" s="1016"/>
      <c r="E124" s="1016"/>
      <c r="F124" s="1017"/>
      <c r="G124" s="1017"/>
      <c r="H124" s="1018">
        <f>SUM(G119:G123)</f>
        <v>8341800</v>
      </c>
    </row>
    <row r="125" spans="1:8" ht="18">
      <c r="A125" s="1008" t="s">
        <v>18</v>
      </c>
      <c r="B125" s="1019" t="s">
        <v>19</v>
      </c>
      <c r="C125" s="1020"/>
      <c r="D125" s="1011"/>
      <c r="E125" s="1011"/>
      <c r="F125" s="1021"/>
      <c r="G125" s="1022"/>
      <c r="H125" s="1007"/>
    </row>
    <row r="126" spans="1:8" ht="18">
      <c r="A126" s="1023"/>
      <c r="B126" s="1009" t="s">
        <v>1751</v>
      </c>
      <c r="C126" s="1010">
        <v>13</v>
      </c>
      <c r="D126" s="1011" t="s">
        <v>1665</v>
      </c>
      <c r="E126" s="1011" t="s">
        <v>82</v>
      </c>
      <c r="F126" s="1022">
        <v>214375</v>
      </c>
      <c r="G126" s="1022">
        <f t="shared" ref="G126:G131" si="3">F126*C126</f>
        <v>2786875</v>
      </c>
      <c r="H126" s="1007"/>
    </row>
    <row r="127" spans="1:8" ht="18">
      <c r="A127" s="1023"/>
      <c r="B127" s="1009" t="s">
        <v>1697</v>
      </c>
      <c r="C127" s="1010">
        <v>13</v>
      </c>
      <c r="D127" s="1011" t="s">
        <v>1665</v>
      </c>
      <c r="E127" s="1011" t="s">
        <v>82</v>
      </c>
      <c r="F127" s="1022">
        <v>53325</v>
      </c>
      <c r="G127" s="1022">
        <f t="shared" si="3"/>
        <v>693225</v>
      </c>
      <c r="H127" s="1007"/>
    </row>
    <row r="128" spans="1:8" ht="18">
      <c r="A128" s="1023"/>
      <c r="B128" s="1009" t="s">
        <v>1698</v>
      </c>
      <c r="C128" s="1010">
        <v>1</v>
      </c>
      <c r="D128" s="1011" t="s">
        <v>897</v>
      </c>
      <c r="E128" s="1011" t="s">
        <v>51</v>
      </c>
      <c r="F128" s="1022">
        <v>250000</v>
      </c>
      <c r="G128" s="1022">
        <f t="shared" si="3"/>
        <v>250000</v>
      </c>
      <c r="H128" s="1007"/>
    </row>
    <row r="129" spans="1:8" ht="18">
      <c r="A129" s="1023"/>
      <c r="B129" s="1009" t="s">
        <v>1699</v>
      </c>
      <c r="C129" s="1010">
        <v>1</v>
      </c>
      <c r="D129" s="1011" t="s">
        <v>1665</v>
      </c>
      <c r="E129" s="1011" t="s">
        <v>51</v>
      </c>
      <c r="F129" s="1022">
        <v>300000</v>
      </c>
      <c r="G129" s="1022">
        <f t="shared" si="3"/>
        <v>300000</v>
      </c>
      <c r="H129" s="1007"/>
    </row>
    <row r="130" spans="1:8" ht="18">
      <c r="A130" s="1023"/>
      <c r="B130" s="1009" t="s">
        <v>1700</v>
      </c>
      <c r="C130" s="1010">
        <v>1</v>
      </c>
      <c r="D130" s="1011" t="s">
        <v>138</v>
      </c>
      <c r="E130" s="1011" t="s">
        <v>51</v>
      </c>
      <c r="F130" s="1022">
        <v>300000</v>
      </c>
      <c r="G130" s="1022">
        <f t="shared" si="3"/>
        <v>300000</v>
      </c>
      <c r="H130" s="1007"/>
    </row>
    <row r="131" spans="1:8" ht="18">
      <c r="A131" s="1023"/>
      <c r="B131" s="1009" t="s">
        <v>1752</v>
      </c>
      <c r="C131" s="1010">
        <v>1</v>
      </c>
      <c r="D131" s="1011" t="s">
        <v>138</v>
      </c>
      <c r="E131" s="1011" t="s">
        <v>51</v>
      </c>
      <c r="F131" s="1022">
        <v>1000000</v>
      </c>
      <c r="G131" s="1022">
        <f t="shared" si="3"/>
        <v>1000000</v>
      </c>
      <c r="H131" s="1007"/>
    </row>
    <row r="132" spans="1:8" ht="18">
      <c r="A132" s="1023"/>
      <c r="B132" s="1024"/>
      <c r="C132" s="1022"/>
      <c r="D132" s="1011"/>
      <c r="E132" s="1011"/>
      <c r="F132" s="1022"/>
      <c r="G132" s="1022"/>
      <c r="H132" s="1007"/>
    </row>
    <row r="133" spans="1:8" ht="18">
      <c r="A133" s="1025"/>
      <c r="B133" s="1026"/>
      <c r="C133" s="1027"/>
      <c r="D133" s="1028"/>
      <c r="E133" s="1029"/>
      <c r="F133" s="1029" t="s">
        <v>25</v>
      </c>
      <c r="G133" s="1030">
        <f>SUM(G126:G131)</f>
        <v>5330100</v>
      </c>
      <c r="H133" s="1018"/>
    </row>
    <row r="134" spans="1:8" ht="18">
      <c r="A134" s="1031"/>
      <c r="B134" s="1032"/>
      <c r="C134" s="1033"/>
      <c r="D134" s="1033"/>
      <c r="E134" s="1034"/>
      <c r="F134" s="1035" t="s">
        <v>1151</v>
      </c>
      <c r="G134" s="1036">
        <f>G133/10</f>
        <v>533010</v>
      </c>
      <c r="H134" s="1037"/>
    </row>
    <row r="135" spans="1:8" ht="18">
      <c r="A135" s="1038"/>
      <c r="B135" s="1039"/>
      <c r="C135" s="1040"/>
      <c r="D135" s="1040"/>
      <c r="E135" s="1041"/>
      <c r="F135" s="1042"/>
      <c r="G135" s="1043"/>
      <c r="H135" s="1044">
        <f>G133+G134</f>
        <v>5863110</v>
      </c>
    </row>
    <row r="136" spans="1:8" ht="18">
      <c r="A136" s="1031"/>
      <c r="B136" s="1032"/>
      <c r="C136" s="1033"/>
      <c r="D136" s="1033"/>
      <c r="E136" s="1034"/>
      <c r="F136" s="1035"/>
      <c r="G136" s="1045"/>
      <c r="H136" s="1046"/>
    </row>
    <row r="137" spans="1:8" ht="18">
      <c r="A137" s="1047"/>
      <c r="B137" s="1048"/>
      <c r="C137" s="1048"/>
      <c r="D137" s="1048"/>
      <c r="E137" s="1048"/>
      <c r="F137" s="1049"/>
      <c r="G137" s="1050" t="s">
        <v>28</v>
      </c>
      <c r="H137" s="1006">
        <f>H135+H124</f>
        <v>14204910</v>
      </c>
    </row>
    <row r="138" spans="1:8" ht="18">
      <c r="A138" s="1051"/>
      <c r="B138" s="1052"/>
      <c r="C138" s="1053"/>
      <c r="D138" s="1053"/>
      <c r="E138" s="1053"/>
      <c r="F138" s="1054"/>
      <c r="G138" s="1055" t="s">
        <v>30</v>
      </c>
      <c r="H138" s="1056">
        <f>ROUND(H137,-3)</f>
        <v>14205000</v>
      </c>
    </row>
    <row r="139" spans="1:8" ht="15.6">
      <c r="A139" s="49"/>
      <c r="B139" s="49"/>
      <c r="C139" s="49"/>
      <c r="D139" s="49"/>
      <c r="E139" s="49"/>
      <c r="F139" s="49"/>
      <c r="G139" s="49"/>
      <c r="H139" s="50"/>
    </row>
    <row r="140" spans="1:8" ht="18">
      <c r="A140" s="768" t="s">
        <v>1150</v>
      </c>
      <c r="B140" s="49"/>
      <c r="C140" s="49"/>
      <c r="D140" s="49"/>
      <c r="E140" s="49"/>
      <c r="F140" s="49"/>
      <c r="G140" s="49"/>
      <c r="H140" s="50"/>
    </row>
    <row r="141" spans="1:8" ht="17.399999999999999">
      <c r="A141" s="49"/>
      <c r="B141" s="965" t="s">
        <v>1753</v>
      </c>
      <c r="C141" s="49"/>
      <c r="D141" s="49"/>
      <c r="E141" s="49"/>
      <c r="F141" s="49"/>
      <c r="G141" s="49"/>
      <c r="H141" s="50"/>
    </row>
    <row r="142" spans="1:8" ht="15.6">
      <c r="A142" s="49"/>
      <c r="B142" s="49"/>
      <c r="C142" s="49"/>
      <c r="D142" s="49"/>
      <c r="E142" s="49"/>
      <c r="F142" s="49"/>
      <c r="G142" s="49"/>
      <c r="H142" s="50"/>
    </row>
    <row r="143" spans="1:8" ht="18">
      <c r="A143" s="51"/>
      <c r="B143" s="51"/>
      <c r="C143" s="51"/>
      <c r="D143" s="51"/>
      <c r="E143" s="51"/>
      <c r="F143" s="51"/>
      <c r="G143" s="1530" t="s">
        <v>1677</v>
      </c>
      <c r="H143" s="1530"/>
    </row>
    <row r="144" spans="1:8" ht="18">
      <c r="A144" s="1530" t="s">
        <v>31</v>
      </c>
      <c r="B144" s="1530"/>
      <c r="C144" s="1530" t="s">
        <v>32</v>
      </c>
      <c r="D144" s="1530"/>
      <c r="E144" s="1530"/>
      <c r="F144" s="958"/>
      <c r="G144" s="1530" t="s">
        <v>33</v>
      </c>
      <c r="H144" s="1530"/>
    </row>
    <row r="145" spans="1:8" ht="18">
      <c r="A145" s="958"/>
      <c r="B145" s="958"/>
      <c r="C145" s="958"/>
      <c r="D145" s="958"/>
      <c r="E145" s="958"/>
      <c r="F145" s="958"/>
      <c r="G145" s="958"/>
      <c r="H145" s="958"/>
    </row>
    <row r="146" spans="1:8" ht="18">
      <c r="A146" s="958"/>
      <c r="B146" s="958"/>
      <c r="C146" s="958"/>
      <c r="D146" s="958"/>
      <c r="E146" s="958"/>
      <c r="F146" s="958"/>
      <c r="G146" s="958"/>
      <c r="H146" s="958"/>
    </row>
    <row r="147" spans="1:8" ht="18">
      <c r="A147" s="958"/>
      <c r="B147" s="958"/>
      <c r="C147" s="958"/>
      <c r="D147" s="958"/>
      <c r="E147" s="958"/>
      <c r="F147" s="958"/>
      <c r="G147" s="958"/>
      <c r="H147" s="958"/>
    </row>
    <row r="148" spans="1:8" ht="18">
      <c r="A148" s="1529" t="s">
        <v>1622</v>
      </c>
      <c r="B148" s="1529"/>
      <c r="C148" s="1529" t="s">
        <v>1603</v>
      </c>
      <c r="D148" s="1529"/>
      <c r="E148" s="1529"/>
      <c r="F148" s="958"/>
      <c r="G148" s="1529" t="s">
        <v>1661</v>
      </c>
      <c r="H148" s="1529"/>
    </row>
    <row r="149" spans="1:8" ht="18">
      <c r="A149" s="1530" t="s">
        <v>37</v>
      </c>
      <c r="B149" s="1530"/>
      <c r="C149" s="1530" t="s">
        <v>1604</v>
      </c>
      <c r="D149" s="1530"/>
      <c r="E149" s="1530"/>
      <c r="F149" s="958"/>
      <c r="G149" s="1530" t="s">
        <v>39</v>
      </c>
      <c r="H149" s="1530"/>
    </row>
    <row r="155" spans="1:8" ht="28.8">
      <c r="A155" s="597"/>
      <c r="B155" s="597"/>
      <c r="C155" s="1513" t="s">
        <v>235</v>
      </c>
      <c r="D155" s="1513"/>
      <c r="E155" s="1513"/>
      <c r="F155" s="1513"/>
      <c r="G155" s="1513"/>
      <c r="H155" s="1513"/>
    </row>
    <row r="156" spans="1:8" ht="28.8">
      <c r="A156" s="597"/>
      <c r="B156" s="597"/>
      <c r="C156" s="1541" t="s">
        <v>1695</v>
      </c>
      <c r="D156" s="1541"/>
      <c r="E156" s="1541"/>
      <c r="F156" s="1541"/>
      <c r="G156" s="1541"/>
      <c r="H156" s="1541"/>
    </row>
    <row r="157" spans="1:8" ht="23.4">
      <c r="A157" s="830"/>
      <c r="B157" s="830"/>
      <c r="C157" s="1537" t="s">
        <v>1684</v>
      </c>
      <c r="D157" s="1537"/>
      <c r="E157" s="1537"/>
      <c r="F157" s="1537"/>
      <c r="G157" s="1537"/>
      <c r="H157" s="1537"/>
    </row>
    <row r="158" spans="1:8" ht="15.6">
      <c r="A158" s="769"/>
      <c r="B158" s="769"/>
      <c r="C158" s="769"/>
      <c r="D158" s="769"/>
      <c r="E158" s="769"/>
      <c r="F158" s="769"/>
      <c r="G158" s="769"/>
      <c r="H158" s="769"/>
    </row>
    <row r="159" spans="1:8" ht="15.6">
      <c r="A159" s="769"/>
      <c r="B159" s="769"/>
      <c r="C159" s="769"/>
      <c r="D159" s="769"/>
      <c r="E159" s="769"/>
      <c r="F159" s="769"/>
      <c r="G159" s="769"/>
      <c r="H159" s="769"/>
    </row>
    <row r="160" spans="1:8" ht="15.6">
      <c r="A160" s="1516" t="s">
        <v>3</v>
      </c>
      <c r="B160" s="1516" t="s">
        <v>4</v>
      </c>
      <c r="C160" s="1516" t="s">
        <v>5</v>
      </c>
      <c r="D160" s="1516" t="s">
        <v>6</v>
      </c>
      <c r="E160" s="1516" t="s">
        <v>7</v>
      </c>
      <c r="F160" s="770" t="s">
        <v>8</v>
      </c>
      <c r="G160" s="770" t="s">
        <v>9</v>
      </c>
      <c r="H160" s="770" t="s">
        <v>10</v>
      </c>
    </row>
    <row r="161" spans="1:8" ht="15.6">
      <c r="A161" s="1517"/>
      <c r="B161" s="1517"/>
      <c r="C161" s="1517"/>
      <c r="D161" s="1517"/>
      <c r="E161" s="1517"/>
      <c r="F161" s="771" t="s">
        <v>11</v>
      </c>
      <c r="G161" s="771" t="s">
        <v>11</v>
      </c>
      <c r="H161" s="771" t="s">
        <v>11</v>
      </c>
    </row>
    <row r="162" spans="1:8" ht="15.6">
      <c r="A162" s="786" t="s">
        <v>12</v>
      </c>
      <c r="B162" s="787" t="s">
        <v>19</v>
      </c>
      <c r="C162" s="782"/>
      <c r="D162" s="780"/>
      <c r="E162" s="780"/>
      <c r="F162" s="778"/>
      <c r="G162" s="788"/>
      <c r="H162" s="789"/>
    </row>
    <row r="163" spans="1:8" ht="15.6">
      <c r="A163" s="790"/>
      <c r="B163" s="778" t="s">
        <v>1685</v>
      </c>
      <c r="C163" s="779"/>
      <c r="D163" s="791"/>
      <c r="E163" s="780"/>
      <c r="F163" s="789"/>
      <c r="G163" s="788"/>
      <c r="H163" s="789"/>
    </row>
    <row r="164" spans="1:8" ht="15.6">
      <c r="A164" s="790"/>
      <c r="B164" s="969" t="s">
        <v>1686</v>
      </c>
      <c r="C164" s="779">
        <v>3</v>
      </c>
      <c r="D164" s="780" t="s">
        <v>21</v>
      </c>
      <c r="E164" s="780" t="s">
        <v>16</v>
      </c>
      <c r="F164" s="788">
        <v>6000000</v>
      </c>
      <c r="G164" s="788">
        <f>F164*C164</f>
        <v>18000000</v>
      </c>
      <c r="H164" s="789"/>
    </row>
    <row r="165" spans="1:8" ht="15.6">
      <c r="A165" s="790"/>
      <c r="B165" s="969" t="s">
        <v>1687</v>
      </c>
      <c r="C165" s="779">
        <v>3</v>
      </c>
      <c r="D165" s="780" t="s">
        <v>44</v>
      </c>
      <c r="E165" s="780" t="s">
        <v>51</v>
      </c>
      <c r="F165" s="788">
        <v>1250000</v>
      </c>
      <c r="G165" s="788">
        <f>F165*C165</f>
        <v>3750000</v>
      </c>
      <c r="H165" s="789"/>
    </row>
    <row r="166" spans="1:8" ht="15.6">
      <c r="A166" s="790"/>
      <c r="B166" s="969" t="s">
        <v>1688</v>
      </c>
      <c r="C166" s="779">
        <v>3</v>
      </c>
      <c r="D166" s="780" t="s">
        <v>44</v>
      </c>
      <c r="E166" s="780" t="s">
        <v>51</v>
      </c>
      <c r="F166" s="788">
        <v>750000</v>
      </c>
      <c r="G166" s="788">
        <f>F166*C166</f>
        <v>2250000</v>
      </c>
      <c r="H166" s="789"/>
    </row>
    <row r="167" spans="1:8" ht="15.6">
      <c r="A167" s="790"/>
      <c r="B167" s="969" t="s">
        <v>1689</v>
      </c>
      <c r="C167" s="779">
        <v>3</v>
      </c>
      <c r="D167" s="780" t="s">
        <v>21</v>
      </c>
      <c r="E167" s="780" t="s">
        <v>51</v>
      </c>
      <c r="F167" s="788">
        <v>648855</v>
      </c>
      <c r="G167" s="788">
        <f>F167*C167</f>
        <v>1946565</v>
      </c>
      <c r="H167" s="789"/>
    </row>
    <row r="168" spans="1:8" ht="15.6">
      <c r="A168" s="790"/>
      <c r="B168" s="969"/>
      <c r="C168" s="779"/>
      <c r="D168" s="780"/>
      <c r="E168" s="780"/>
      <c r="F168" s="788"/>
      <c r="G168" s="788"/>
      <c r="H168" s="789"/>
    </row>
    <row r="169" spans="1:8" ht="15.6">
      <c r="A169" s="790"/>
      <c r="B169" s="778" t="s">
        <v>1690</v>
      </c>
      <c r="C169" s="779"/>
      <c r="D169" s="791"/>
      <c r="E169" s="780"/>
      <c r="F169" s="789"/>
      <c r="G169" s="788"/>
      <c r="H169" s="789"/>
    </row>
    <row r="170" spans="1:8" ht="15.6">
      <c r="A170" s="790"/>
      <c r="B170" s="969" t="s">
        <v>1691</v>
      </c>
      <c r="C170" s="779">
        <v>1</v>
      </c>
      <c r="D170" s="780" t="s">
        <v>21</v>
      </c>
      <c r="E170" s="780" t="s">
        <v>16</v>
      </c>
      <c r="F170" s="788">
        <v>7500000</v>
      </c>
      <c r="G170" s="788">
        <f>F170*C170</f>
        <v>7500000</v>
      </c>
      <c r="H170" s="789"/>
    </row>
    <row r="171" spans="1:8" ht="15.6">
      <c r="A171" s="790"/>
      <c r="B171" s="969" t="s">
        <v>1692</v>
      </c>
      <c r="C171" s="779">
        <v>1</v>
      </c>
      <c r="D171" s="780" t="s">
        <v>44</v>
      </c>
      <c r="E171" s="780" t="s">
        <v>51</v>
      </c>
      <c r="F171" s="788">
        <v>1250000</v>
      </c>
      <c r="G171" s="788">
        <f>F171*C171</f>
        <v>1250000</v>
      </c>
      <c r="H171" s="789"/>
    </row>
    <row r="172" spans="1:8" ht="15.6">
      <c r="A172" s="790"/>
      <c r="B172" s="969" t="s">
        <v>1693</v>
      </c>
      <c r="C172" s="779">
        <v>1</v>
      </c>
      <c r="D172" s="780" t="s">
        <v>44</v>
      </c>
      <c r="E172" s="780" t="s">
        <v>51</v>
      </c>
      <c r="F172" s="788">
        <v>750000</v>
      </c>
      <c r="G172" s="788">
        <f>F172*C172</f>
        <v>750000</v>
      </c>
      <c r="H172" s="789"/>
    </row>
    <row r="173" spans="1:8" ht="15.6">
      <c r="A173" s="790"/>
      <c r="B173" s="969" t="s">
        <v>1694</v>
      </c>
      <c r="C173" s="779">
        <v>1</v>
      </c>
      <c r="D173" s="780" t="s">
        <v>21</v>
      </c>
      <c r="E173" s="780" t="s">
        <v>51</v>
      </c>
      <c r="F173" s="788">
        <v>648855</v>
      </c>
      <c r="G173" s="788">
        <f>F173*C173</f>
        <v>648855</v>
      </c>
      <c r="H173" s="789"/>
    </row>
    <row r="174" spans="1:8" ht="15.6">
      <c r="A174" s="790"/>
      <c r="B174" s="969"/>
      <c r="C174" s="779"/>
      <c r="D174" s="780"/>
      <c r="E174" s="780"/>
      <c r="F174" s="788"/>
      <c r="G174" s="788"/>
      <c r="H174" s="789"/>
    </row>
    <row r="175" spans="1:8" ht="15.6">
      <c r="A175" s="790"/>
      <c r="B175" s="969"/>
      <c r="C175" s="779"/>
      <c r="D175" s="780"/>
      <c r="E175" s="780"/>
      <c r="F175" s="788"/>
      <c r="G175" s="788"/>
      <c r="H175" s="789"/>
    </row>
    <row r="176" spans="1:8" ht="15.6">
      <c r="A176" s="790"/>
      <c r="B176" s="777"/>
      <c r="C176" s="788"/>
      <c r="D176" s="780"/>
      <c r="E176" s="780"/>
      <c r="F176" s="788"/>
      <c r="G176" s="788"/>
      <c r="H176" s="789"/>
    </row>
    <row r="177" spans="1:11" ht="15.6">
      <c r="A177" s="793"/>
      <c r="B177" s="783"/>
      <c r="C177" s="794"/>
      <c r="D177" s="795"/>
      <c r="E177" s="811"/>
      <c r="F177" s="811" t="s">
        <v>25</v>
      </c>
      <c r="G177" s="813">
        <f>SUM(G163:G176)</f>
        <v>36095420</v>
      </c>
      <c r="H177" s="810"/>
    </row>
    <row r="178" spans="1:11" ht="15.6">
      <c r="A178" s="820"/>
      <c r="B178" s="821"/>
      <c r="C178" s="822"/>
      <c r="D178" s="822"/>
      <c r="E178" s="823"/>
      <c r="F178" s="819" t="s">
        <v>1151</v>
      </c>
      <c r="G178" s="964">
        <f>G177/10</f>
        <v>3609542</v>
      </c>
      <c r="H178" s="825"/>
    </row>
    <row r="179" spans="1:11" ht="15.6">
      <c r="A179" s="796"/>
      <c r="B179" s="797"/>
      <c r="C179" s="784"/>
      <c r="D179" s="784"/>
      <c r="E179" s="785"/>
      <c r="F179" s="812"/>
      <c r="G179" s="798"/>
      <c r="H179" s="826">
        <f>G177+G178</f>
        <v>39704962</v>
      </c>
    </row>
    <row r="180" spans="1:11" ht="15.6">
      <c r="A180" s="820"/>
      <c r="B180" s="821"/>
      <c r="C180" s="822"/>
      <c r="D180" s="822"/>
      <c r="E180" s="823"/>
      <c r="F180" s="819"/>
      <c r="G180" s="824"/>
      <c r="H180" s="827"/>
    </row>
    <row r="181" spans="1:11" ht="15.6">
      <c r="A181" s="799"/>
      <c r="B181" s="800"/>
      <c r="C181" s="800"/>
      <c r="D181" s="800"/>
      <c r="E181" s="800"/>
      <c r="F181" s="801"/>
      <c r="G181" s="828" t="s">
        <v>28</v>
      </c>
      <c r="H181" s="775">
        <f>H179</f>
        <v>39704962</v>
      </c>
    </row>
    <row r="182" spans="1:11" ht="15.6">
      <c r="A182" s="802"/>
      <c r="B182" s="803"/>
      <c r="C182" s="804"/>
      <c r="D182" s="804"/>
      <c r="E182" s="804"/>
      <c r="F182" s="805"/>
      <c r="G182" s="829" t="s">
        <v>30</v>
      </c>
      <c r="H182" s="807">
        <f>ROUND(H181,-3)</f>
        <v>39705000</v>
      </c>
    </row>
    <row r="183" spans="1:11" ht="15.6">
      <c r="A183" s="49"/>
      <c r="B183" s="49"/>
      <c r="C183" s="49"/>
      <c r="D183" s="49"/>
      <c r="E183" s="49"/>
      <c r="F183" s="49"/>
      <c r="G183" s="49"/>
      <c r="H183" s="50"/>
    </row>
    <row r="184" spans="1:11" ht="18">
      <c r="A184" s="768" t="s">
        <v>1150</v>
      </c>
      <c r="B184" s="49"/>
      <c r="C184" s="49"/>
      <c r="D184" s="49"/>
      <c r="E184" s="49"/>
      <c r="F184" s="49"/>
      <c r="G184" s="49"/>
      <c r="H184" s="50"/>
    </row>
    <row r="185" spans="1:11" ht="17.399999999999999">
      <c r="A185" s="49"/>
      <c r="B185" s="965" t="s">
        <v>1780</v>
      </c>
      <c r="C185" s="49"/>
      <c r="D185" s="49"/>
      <c r="E185" s="49"/>
      <c r="F185" s="49"/>
      <c r="G185" s="49"/>
      <c r="H185" s="50"/>
    </row>
    <row r="186" spans="1:11" ht="15.6">
      <c r="A186" s="49"/>
      <c r="B186" s="49"/>
      <c r="C186" s="49"/>
      <c r="D186" s="49"/>
      <c r="E186" s="49"/>
      <c r="F186" s="49"/>
      <c r="G186" s="49"/>
      <c r="H186" s="50"/>
    </row>
    <row r="187" spans="1:11" ht="15.6">
      <c r="A187" s="51"/>
      <c r="B187" s="51"/>
      <c r="C187" s="51"/>
      <c r="D187" s="51"/>
      <c r="E187" s="51"/>
      <c r="F187" s="51"/>
      <c r="G187" s="1509" t="s">
        <v>1756</v>
      </c>
      <c r="H187" s="1509"/>
    </row>
    <row r="188" spans="1:11" ht="15.6">
      <c r="A188" s="1509" t="s">
        <v>31</v>
      </c>
      <c r="B188" s="1509"/>
      <c r="C188" s="1509" t="s">
        <v>32</v>
      </c>
      <c r="D188" s="1509"/>
      <c r="E188" s="1509"/>
      <c r="F188" s="51"/>
      <c r="G188" s="1509" t="s">
        <v>33</v>
      </c>
      <c r="H188" s="1509"/>
    </row>
    <row r="189" spans="1:11" ht="15.6">
      <c r="A189" s="51"/>
      <c r="B189" s="51"/>
      <c r="C189" s="51"/>
      <c r="D189" s="51"/>
      <c r="E189" s="51"/>
      <c r="F189" s="51"/>
      <c r="G189" s="51"/>
      <c r="H189" s="51"/>
    </row>
    <row r="190" spans="1:11" ht="15.6">
      <c r="A190" s="51"/>
      <c r="B190" s="51"/>
      <c r="C190" s="51"/>
      <c r="D190" s="51"/>
      <c r="E190" s="51"/>
      <c r="F190" s="51"/>
      <c r="G190" s="51"/>
      <c r="H190" s="51"/>
    </row>
    <row r="191" spans="1:11" ht="15.6">
      <c r="A191" s="51"/>
      <c r="B191" s="51"/>
      <c r="C191" s="51"/>
      <c r="D191" s="51"/>
      <c r="E191" s="51"/>
      <c r="F191" s="51"/>
      <c r="G191" s="51"/>
      <c r="H191" s="51"/>
      <c r="K191" s="1">
        <f>12*3*4</f>
        <v>144</v>
      </c>
    </row>
    <row r="192" spans="1:11" ht="15.6">
      <c r="A192" s="1512" t="s">
        <v>1622</v>
      </c>
      <c r="B192" s="1512"/>
      <c r="C192" s="1512" t="s">
        <v>1778</v>
      </c>
      <c r="D192" s="1512"/>
      <c r="E192" s="1512"/>
      <c r="F192" s="51"/>
      <c r="G192" s="1512" t="s">
        <v>1661</v>
      </c>
      <c r="H192" s="1512"/>
      <c r="K192" s="1">
        <f>0.3*3*4*4</f>
        <v>14.399999999999999</v>
      </c>
    </row>
    <row r="193" spans="1:11" ht="15.6">
      <c r="A193" s="1509" t="s">
        <v>37</v>
      </c>
      <c r="B193" s="1509"/>
      <c r="C193" s="1509" t="s">
        <v>1779</v>
      </c>
      <c r="D193" s="1509"/>
      <c r="E193" s="1509"/>
      <c r="F193" s="51"/>
      <c r="G193" s="1509" t="s">
        <v>39</v>
      </c>
      <c r="H193" s="1509"/>
      <c r="K193" s="1">
        <f>SUM(K191:K192)</f>
        <v>158.4</v>
      </c>
    </row>
    <row r="199" spans="1:11" ht="28.8">
      <c r="A199" s="597"/>
      <c r="B199" s="597"/>
      <c r="C199" s="1513" t="s">
        <v>235</v>
      </c>
      <c r="D199" s="1513"/>
      <c r="E199" s="1513"/>
      <c r="F199" s="1513"/>
      <c r="G199" s="1513"/>
      <c r="H199" s="1513"/>
    </row>
    <row r="200" spans="1:11" ht="28.8">
      <c r="A200" s="597"/>
      <c r="B200" s="597"/>
      <c r="C200" s="1541" t="s">
        <v>310</v>
      </c>
      <c r="D200" s="1541"/>
      <c r="E200" s="1541"/>
      <c r="F200" s="1541"/>
      <c r="G200" s="1541"/>
      <c r="H200" s="1541"/>
    </row>
    <row r="201" spans="1:11" ht="23.4">
      <c r="A201" s="830"/>
      <c r="B201" s="830"/>
      <c r="C201" s="1537" t="s">
        <v>1678</v>
      </c>
      <c r="D201" s="1537"/>
      <c r="E201" s="1537"/>
      <c r="F201" s="1537"/>
      <c r="G201" s="1537"/>
      <c r="H201" s="1537"/>
    </row>
    <row r="202" spans="1:11" ht="15.6">
      <c r="A202" s="769"/>
      <c r="B202" s="769"/>
      <c r="C202" s="769"/>
      <c r="D202" s="769"/>
      <c r="E202" s="769"/>
      <c r="F202" s="769"/>
      <c r="G202" s="769"/>
      <c r="H202" s="769"/>
    </row>
    <row r="203" spans="1:11" ht="15.6">
      <c r="A203" s="769"/>
      <c r="B203" s="769"/>
      <c r="C203" s="769"/>
      <c r="D203" s="769"/>
      <c r="E203" s="769"/>
      <c r="F203" s="769"/>
      <c r="G203" s="769"/>
      <c r="H203" s="769"/>
    </row>
    <row r="204" spans="1:11" ht="15.6">
      <c r="A204" s="1516" t="s">
        <v>3</v>
      </c>
      <c r="B204" s="1516" t="s">
        <v>4</v>
      </c>
      <c r="C204" s="1516" t="s">
        <v>5</v>
      </c>
      <c r="D204" s="1516" t="s">
        <v>6</v>
      </c>
      <c r="E204" s="1516" t="s">
        <v>7</v>
      </c>
      <c r="F204" s="770" t="s">
        <v>8</v>
      </c>
      <c r="G204" s="770" t="s">
        <v>9</v>
      </c>
      <c r="H204" s="770" t="s">
        <v>10</v>
      </c>
    </row>
    <row r="205" spans="1:11" ht="15.6">
      <c r="A205" s="1517"/>
      <c r="B205" s="1517"/>
      <c r="C205" s="1517"/>
      <c r="D205" s="1517"/>
      <c r="E205" s="1517"/>
      <c r="F205" s="771" t="s">
        <v>11</v>
      </c>
      <c r="G205" s="771" t="s">
        <v>11</v>
      </c>
      <c r="H205" s="771" t="s">
        <v>11</v>
      </c>
    </row>
    <row r="206" spans="1:11" ht="15.6">
      <c r="A206" s="770" t="s">
        <v>12</v>
      </c>
      <c r="B206" s="772" t="s">
        <v>364</v>
      </c>
      <c r="C206" s="773"/>
      <c r="D206" s="774"/>
      <c r="E206" s="774"/>
      <c r="F206" s="774"/>
      <c r="G206" s="775"/>
      <c r="H206" s="776"/>
    </row>
    <row r="207" spans="1:11" ht="15.6">
      <c r="A207" s="786"/>
      <c r="B207" s="969" t="s">
        <v>1541</v>
      </c>
      <c r="C207" s="779">
        <v>6</v>
      </c>
      <c r="D207" s="780" t="s">
        <v>132</v>
      </c>
      <c r="E207" s="780" t="s">
        <v>197</v>
      </c>
      <c r="F207" s="791" t="s">
        <v>126</v>
      </c>
      <c r="G207" s="791" t="s">
        <v>126</v>
      </c>
      <c r="H207" s="971"/>
    </row>
    <row r="208" spans="1:11" ht="15.6">
      <c r="A208" s="786"/>
      <c r="B208" s="969" t="s">
        <v>1542</v>
      </c>
      <c r="C208" s="779">
        <v>3</v>
      </c>
      <c r="D208" s="780" t="s">
        <v>132</v>
      </c>
      <c r="E208" s="780" t="s">
        <v>197</v>
      </c>
      <c r="F208" s="780" t="s">
        <v>126</v>
      </c>
      <c r="G208" s="986" t="s">
        <v>126</v>
      </c>
      <c r="H208" s="971"/>
    </row>
    <row r="209" spans="1:8" ht="15.6">
      <c r="A209" s="786"/>
      <c r="B209" s="969" t="s">
        <v>1543</v>
      </c>
      <c r="C209" s="779">
        <v>2</v>
      </c>
      <c r="D209" s="780" t="s">
        <v>44</v>
      </c>
      <c r="E209" s="780" t="s">
        <v>197</v>
      </c>
      <c r="F209" s="791" t="s">
        <v>126</v>
      </c>
      <c r="G209" s="791" t="s">
        <v>126</v>
      </c>
      <c r="H209" s="971"/>
    </row>
    <row r="210" spans="1:8" ht="15.6">
      <c r="A210" s="786"/>
      <c r="B210" s="969" t="s">
        <v>1544</v>
      </c>
      <c r="C210" s="779">
        <v>1</v>
      </c>
      <c r="D210" s="780" t="s">
        <v>44</v>
      </c>
      <c r="E210" s="780" t="s">
        <v>197</v>
      </c>
      <c r="F210" s="780" t="s">
        <v>126</v>
      </c>
      <c r="G210" s="986" t="s">
        <v>126</v>
      </c>
      <c r="H210" s="971"/>
    </row>
    <row r="211" spans="1:8" ht="15.6">
      <c r="A211" s="786"/>
      <c r="B211" s="969" t="s">
        <v>1545</v>
      </c>
      <c r="C211" s="779">
        <v>2</v>
      </c>
      <c r="D211" s="780" t="s">
        <v>44</v>
      </c>
      <c r="E211" s="780" t="s">
        <v>197</v>
      </c>
      <c r="F211" s="791" t="s">
        <v>126</v>
      </c>
      <c r="G211" s="791" t="s">
        <v>126</v>
      </c>
      <c r="H211" s="971"/>
    </row>
    <row r="212" spans="1:8" ht="15.6">
      <c r="A212" s="786"/>
      <c r="B212" s="969" t="s">
        <v>1546</v>
      </c>
      <c r="C212" s="779">
        <v>1</v>
      </c>
      <c r="D212" s="780" t="s">
        <v>44</v>
      </c>
      <c r="E212" s="780" t="s">
        <v>197</v>
      </c>
      <c r="F212" s="791" t="s">
        <v>126</v>
      </c>
      <c r="G212" s="791" t="s">
        <v>126</v>
      </c>
      <c r="H212" s="971"/>
    </row>
    <row r="213" spans="1:8" ht="15.6">
      <c r="A213" s="786"/>
      <c r="B213" s="969" t="s">
        <v>1547</v>
      </c>
      <c r="C213" s="779">
        <v>3</v>
      </c>
      <c r="D213" s="780" t="s">
        <v>44</v>
      </c>
      <c r="E213" s="780" t="s">
        <v>16</v>
      </c>
      <c r="F213" s="788">
        <v>75000</v>
      </c>
      <c r="G213" s="788">
        <f>F213*C213</f>
        <v>225000</v>
      </c>
      <c r="H213" s="971"/>
    </row>
    <row r="214" spans="1:8" ht="15.6">
      <c r="A214" s="786"/>
      <c r="B214" s="969" t="s">
        <v>1548</v>
      </c>
      <c r="C214" s="779">
        <v>1</v>
      </c>
      <c r="D214" s="780" t="s">
        <v>44</v>
      </c>
      <c r="E214" s="780" t="s">
        <v>51</v>
      </c>
      <c r="F214" s="788">
        <v>150000</v>
      </c>
      <c r="G214" s="788">
        <f>F214*C214</f>
        <v>150000</v>
      </c>
      <c r="H214" s="971"/>
    </row>
    <row r="215" spans="1:8" ht="15.6">
      <c r="A215" s="814"/>
      <c r="B215" s="806"/>
      <c r="C215" s="815"/>
      <c r="D215" s="816"/>
      <c r="E215" s="816"/>
      <c r="F215" s="817"/>
      <c r="G215" s="817"/>
      <c r="H215" s="818">
        <f>SUM(G206:G215)</f>
        <v>375000</v>
      </c>
    </row>
    <row r="216" spans="1:8" ht="15.6">
      <c r="A216" s="786" t="s">
        <v>18</v>
      </c>
      <c r="B216" s="787" t="s">
        <v>19</v>
      </c>
      <c r="C216" s="782"/>
      <c r="D216" s="780"/>
      <c r="E216" s="780"/>
      <c r="F216" s="778"/>
      <c r="G216" s="788"/>
      <c r="H216" s="789"/>
    </row>
    <row r="217" spans="1:8" ht="15.6">
      <c r="A217" s="790"/>
      <c r="B217" s="778" t="s">
        <v>1549</v>
      </c>
      <c r="C217" s="779"/>
      <c r="D217" s="791"/>
      <c r="E217" s="780"/>
      <c r="F217" s="789"/>
      <c r="G217" s="788"/>
      <c r="H217" s="789"/>
    </row>
    <row r="218" spans="1:8" ht="15.6">
      <c r="A218" s="790"/>
      <c r="B218" s="969" t="s">
        <v>1550</v>
      </c>
      <c r="C218" s="779">
        <v>1</v>
      </c>
      <c r="D218" s="780" t="s">
        <v>69</v>
      </c>
      <c r="E218" s="780" t="s">
        <v>51</v>
      </c>
      <c r="F218" s="788">
        <v>500000</v>
      </c>
      <c r="G218" s="788">
        <f t="shared" ref="G218:G223" si="4">F218*C218</f>
        <v>500000</v>
      </c>
      <c r="H218" s="789"/>
    </row>
    <row r="219" spans="1:8" ht="15.6">
      <c r="A219" s="790"/>
      <c r="B219" s="969" t="s">
        <v>1551</v>
      </c>
      <c r="C219" s="779">
        <v>1</v>
      </c>
      <c r="D219" s="780" t="s">
        <v>69</v>
      </c>
      <c r="E219" s="780" t="s">
        <v>51</v>
      </c>
      <c r="F219" s="788">
        <v>350000</v>
      </c>
      <c r="G219" s="788">
        <f t="shared" si="4"/>
        <v>350000</v>
      </c>
      <c r="H219" s="789"/>
    </row>
    <row r="220" spans="1:8" ht="15.6">
      <c r="A220" s="790"/>
      <c r="B220" s="969" t="s">
        <v>1552</v>
      </c>
      <c r="C220" s="779">
        <v>1</v>
      </c>
      <c r="D220" s="780" t="s">
        <v>21</v>
      </c>
      <c r="E220" s="780" t="s">
        <v>51</v>
      </c>
      <c r="F220" s="788">
        <v>300000</v>
      </c>
      <c r="G220" s="788">
        <f t="shared" si="4"/>
        <v>300000</v>
      </c>
      <c r="H220" s="789"/>
    </row>
    <row r="221" spans="1:8" ht="15.6">
      <c r="A221" s="790"/>
      <c r="B221" s="969" t="s">
        <v>1553</v>
      </c>
      <c r="C221" s="779">
        <v>1</v>
      </c>
      <c r="D221" s="780" t="s">
        <v>21</v>
      </c>
      <c r="E221" s="780" t="s">
        <v>51</v>
      </c>
      <c r="F221" s="788">
        <v>500000</v>
      </c>
      <c r="G221" s="788">
        <f t="shared" si="4"/>
        <v>500000</v>
      </c>
      <c r="H221" s="789"/>
    </row>
    <row r="222" spans="1:8" ht="15.75" customHeight="1">
      <c r="A222" s="790"/>
      <c r="B222" s="969" t="s">
        <v>1759</v>
      </c>
      <c r="C222" s="779">
        <v>2</v>
      </c>
      <c r="D222" s="780" t="s">
        <v>21</v>
      </c>
      <c r="E222" s="780" t="s">
        <v>51</v>
      </c>
      <c r="F222" s="788">
        <v>750000</v>
      </c>
      <c r="G222" s="788">
        <f t="shared" si="4"/>
        <v>1500000</v>
      </c>
      <c r="H222" s="789"/>
    </row>
    <row r="223" spans="1:8" ht="15.6">
      <c r="A223" s="790"/>
      <c r="B223" s="969" t="s">
        <v>1760</v>
      </c>
      <c r="C223" s="779">
        <v>1</v>
      </c>
      <c r="D223" s="780" t="s">
        <v>21</v>
      </c>
      <c r="E223" s="780" t="s">
        <v>51</v>
      </c>
      <c r="F223" s="788">
        <v>975000</v>
      </c>
      <c r="G223" s="788">
        <f t="shared" si="4"/>
        <v>975000</v>
      </c>
      <c r="H223" s="789"/>
    </row>
    <row r="224" spans="1:8" ht="15.6">
      <c r="A224" s="790"/>
      <c r="B224" s="969"/>
      <c r="C224" s="779"/>
      <c r="D224" s="780"/>
      <c r="E224" s="780"/>
      <c r="F224" s="788"/>
      <c r="G224" s="788"/>
      <c r="H224" s="789"/>
    </row>
    <row r="225" spans="1:8" ht="15.6">
      <c r="A225" s="790"/>
      <c r="B225" s="778" t="s">
        <v>1680</v>
      </c>
      <c r="C225" s="779"/>
      <c r="D225" s="780"/>
      <c r="E225" s="780"/>
      <c r="F225" s="788"/>
      <c r="G225" s="788"/>
      <c r="H225" s="789"/>
    </row>
    <row r="226" spans="1:8" ht="15.6">
      <c r="A226" s="790"/>
      <c r="B226" s="969" t="s">
        <v>1621</v>
      </c>
      <c r="C226" s="779">
        <v>72</v>
      </c>
      <c r="D226" s="780" t="s">
        <v>81</v>
      </c>
      <c r="E226" s="780" t="s">
        <v>82</v>
      </c>
      <c r="F226" s="788">
        <v>4786.5</v>
      </c>
      <c r="G226" s="788">
        <f>F226*C226</f>
        <v>344628</v>
      </c>
      <c r="H226" s="789"/>
    </row>
    <row r="227" spans="1:8" ht="15.6">
      <c r="A227" s="790"/>
      <c r="B227" s="969" t="s">
        <v>1558</v>
      </c>
      <c r="C227" s="779">
        <v>158</v>
      </c>
      <c r="D227" s="780" t="s">
        <v>84</v>
      </c>
      <c r="E227" s="780" t="s">
        <v>82</v>
      </c>
      <c r="F227" s="788">
        <v>3200.16</v>
      </c>
      <c r="G227" s="788">
        <f>F227*C227</f>
        <v>505625.27999999997</v>
      </c>
      <c r="H227" s="789"/>
    </row>
    <row r="228" spans="1:8" ht="15.6">
      <c r="A228" s="790"/>
      <c r="B228" s="969" t="s">
        <v>1559</v>
      </c>
      <c r="C228" s="779">
        <v>144</v>
      </c>
      <c r="D228" s="780" t="s">
        <v>84</v>
      </c>
      <c r="E228" s="780" t="s">
        <v>82</v>
      </c>
      <c r="F228" s="788">
        <v>3200.16</v>
      </c>
      <c r="G228" s="788">
        <f>F228*C228</f>
        <v>460823.03999999998</v>
      </c>
      <c r="H228" s="789"/>
    </row>
    <row r="229" spans="1:8" ht="15.6">
      <c r="A229" s="790"/>
      <c r="B229" s="969" t="s">
        <v>1679</v>
      </c>
      <c r="C229" s="997">
        <v>36</v>
      </c>
      <c r="D229" s="780" t="s">
        <v>81</v>
      </c>
      <c r="E229" s="780" t="s">
        <v>16</v>
      </c>
      <c r="F229" s="788">
        <v>60867.5</v>
      </c>
      <c r="G229" s="788">
        <f>F229*C229</f>
        <v>2191230</v>
      </c>
      <c r="H229" s="789"/>
    </row>
    <row r="230" spans="1:8" ht="15.6">
      <c r="A230" s="790"/>
      <c r="B230" s="969"/>
      <c r="C230" s="779"/>
      <c r="D230" s="780"/>
      <c r="E230" s="780"/>
      <c r="F230" s="788"/>
      <c r="G230" s="788"/>
      <c r="H230" s="789"/>
    </row>
    <row r="231" spans="1:8" ht="15.6">
      <c r="A231" s="790"/>
      <c r="B231" s="778" t="s">
        <v>1628</v>
      </c>
      <c r="C231" s="779">
        <v>1</v>
      </c>
      <c r="D231" s="780" t="s">
        <v>69</v>
      </c>
      <c r="E231" s="780" t="s">
        <v>51</v>
      </c>
      <c r="F231" s="788">
        <v>300000</v>
      </c>
      <c r="G231" s="788">
        <f>F231*C231</f>
        <v>300000</v>
      </c>
      <c r="H231" s="789"/>
    </row>
    <row r="232" spans="1:8" ht="15.6">
      <c r="A232" s="790"/>
      <c r="B232" s="777"/>
      <c r="C232" s="788"/>
      <c r="D232" s="780"/>
      <c r="E232" s="780"/>
      <c r="F232" s="788"/>
      <c r="G232" s="788"/>
      <c r="H232" s="789"/>
    </row>
    <row r="233" spans="1:8" ht="15.6">
      <c r="A233" s="793"/>
      <c r="B233" s="783"/>
      <c r="C233" s="794"/>
      <c r="D233" s="795"/>
      <c r="E233" s="811"/>
      <c r="F233" s="811" t="s">
        <v>25</v>
      </c>
      <c r="G233" s="813">
        <f>SUM(G217:G232)</f>
        <v>7927306.3200000003</v>
      </c>
      <c r="H233" s="810"/>
    </row>
    <row r="234" spans="1:8" ht="15.6">
      <c r="A234" s="820"/>
      <c r="B234" s="821"/>
      <c r="C234" s="822"/>
      <c r="D234" s="822"/>
      <c r="E234" s="823"/>
      <c r="F234" s="819" t="s">
        <v>1151</v>
      </c>
      <c r="G234" s="964">
        <f>G233/10</f>
        <v>792730.63199999998</v>
      </c>
      <c r="H234" s="825"/>
    </row>
    <row r="235" spans="1:8" ht="15.6">
      <c r="A235" s="796"/>
      <c r="B235" s="797"/>
      <c r="C235" s="784"/>
      <c r="D235" s="784"/>
      <c r="E235" s="785"/>
      <c r="F235" s="812"/>
      <c r="G235" s="798"/>
      <c r="H235" s="826">
        <f>G233+G234</f>
        <v>8720036.9519999996</v>
      </c>
    </row>
    <row r="236" spans="1:8" ht="15.6">
      <c r="A236" s="820"/>
      <c r="B236" s="821"/>
      <c r="C236" s="822"/>
      <c r="D236" s="822"/>
      <c r="E236" s="823"/>
      <c r="F236" s="819"/>
      <c r="G236" s="824"/>
      <c r="H236" s="827"/>
    </row>
    <row r="237" spans="1:8" ht="15.6">
      <c r="A237" s="799"/>
      <c r="B237" s="800"/>
      <c r="C237" s="800"/>
      <c r="D237" s="800"/>
      <c r="E237" s="800"/>
      <c r="F237" s="801"/>
      <c r="G237" s="828" t="s">
        <v>28</v>
      </c>
      <c r="H237" s="775">
        <f>H235+H215</f>
        <v>9095036.9519999996</v>
      </c>
    </row>
    <row r="238" spans="1:8" ht="15.6">
      <c r="A238" s="802"/>
      <c r="B238" s="803"/>
      <c r="C238" s="804"/>
      <c r="D238" s="804"/>
      <c r="E238" s="804"/>
      <c r="F238" s="805"/>
      <c r="G238" s="829" t="s">
        <v>30</v>
      </c>
      <c r="H238" s="807">
        <f>ROUND(H237,-3)</f>
        <v>9095000</v>
      </c>
    </row>
    <row r="239" spans="1:8" ht="15.6">
      <c r="A239" s="49"/>
      <c r="B239" s="49"/>
      <c r="C239" s="49"/>
      <c r="D239" s="49"/>
      <c r="E239" s="49"/>
      <c r="F239" s="49"/>
      <c r="G239" s="49"/>
      <c r="H239" s="50"/>
    </row>
    <row r="240" spans="1:8" ht="18">
      <c r="A240" s="768" t="s">
        <v>1150</v>
      </c>
      <c r="B240" s="49"/>
      <c r="C240" s="49"/>
      <c r="D240" s="49"/>
      <c r="E240" s="49"/>
      <c r="F240" s="49"/>
      <c r="G240" s="49"/>
      <c r="H240" s="50"/>
    </row>
    <row r="241" spans="1:8" ht="17.399999999999999">
      <c r="A241" s="49"/>
      <c r="B241" s="965" t="s">
        <v>1761</v>
      </c>
      <c r="C241" s="49"/>
      <c r="D241" s="49"/>
      <c r="E241" s="49"/>
      <c r="F241" s="49"/>
      <c r="G241" s="49"/>
      <c r="H241" s="50"/>
    </row>
    <row r="242" spans="1:8" ht="15.6">
      <c r="A242" s="49"/>
      <c r="B242" s="49"/>
      <c r="C242" s="49"/>
      <c r="D242" s="49"/>
      <c r="E242" s="49"/>
      <c r="F242" s="49"/>
      <c r="G242" s="49"/>
      <c r="H242" s="50"/>
    </row>
    <row r="243" spans="1:8" ht="15.6">
      <c r="A243" s="51"/>
      <c r="B243" s="51"/>
      <c r="C243" s="51"/>
      <c r="D243" s="51"/>
      <c r="E243" s="51"/>
      <c r="F243" s="51"/>
      <c r="G243" s="1509" t="s">
        <v>1756</v>
      </c>
      <c r="H243" s="1509"/>
    </row>
    <row r="244" spans="1:8" ht="15.6">
      <c r="A244" s="1509" t="s">
        <v>31</v>
      </c>
      <c r="B244" s="1509"/>
      <c r="C244" s="1509" t="s">
        <v>32</v>
      </c>
      <c r="D244" s="1509"/>
      <c r="E244" s="1509"/>
      <c r="F244" s="51"/>
      <c r="G244" s="1509" t="s">
        <v>33</v>
      </c>
      <c r="H244" s="1509"/>
    </row>
    <row r="245" spans="1:8" ht="15.6">
      <c r="A245" s="51"/>
      <c r="B245" s="51"/>
      <c r="C245" s="51"/>
      <c r="D245" s="51"/>
      <c r="E245" s="51"/>
      <c r="F245" s="51"/>
      <c r="G245" s="51"/>
      <c r="H245" s="51"/>
    </row>
    <row r="246" spans="1:8" ht="15.6">
      <c r="A246" s="51"/>
      <c r="B246" s="51"/>
      <c r="C246" s="51"/>
      <c r="D246" s="51"/>
      <c r="E246" s="51"/>
      <c r="F246" s="51"/>
      <c r="G246" s="51"/>
      <c r="H246" s="51"/>
    </row>
    <row r="247" spans="1:8" ht="15.6">
      <c r="A247" s="51"/>
      <c r="B247" s="51"/>
      <c r="C247" s="51"/>
      <c r="D247" s="51"/>
      <c r="E247" s="51"/>
      <c r="F247" s="51"/>
      <c r="G247" s="51"/>
      <c r="H247" s="51"/>
    </row>
    <row r="248" spans="1:8" ht="15.6">
      <c r="A248" s="1512" t="s">
        <v>1622</v>
      </c>
      <c r="B248" s="1512"/>
      <c r="C248" s="1512" t="s">
        <v>1603</v>
      </c>
      <c r="D248" s="1512"/>
      <c r="E248" s="1512"/>
      <c r="F248" s="51"/>
      <c r="G248" s="1512" t="s">
        <v>1661</v>
      </c>
      <c r="H248" s="1512"/>
    </row>
    <row r="249" spans="1:8" ht="15.6">
      <c r="A249" s="1509" t="s">
        <v>37</v>
      </c>
      <c r="B249" s="1509"/>
      <c r="C249" s="1509" t="s">
        <v>1604</v>
      </c>
      <c r="D249" s="1509"/>
      <c r="E249" s="1509"/>
      <c r="F249" s="51"/>
      <c r="G249" s="1509" t="s">
        <v>39</v>
      </c>
      <c r="H249" s="1509"/>
    </row>
    <row r="254" spans="1:8" ht="28.8">
      <c r="A254" s="597"/>
      <c r="B254" s="597"/>
      <c r="C254" s="1513" t="s">
        <v>1667</v>
      </c>
      <c r="D254" s="1513"/>
      <c r="E254" s="1513"/>
      <c r="F254" s="1513"/>
      <c r="G254" s="1513"/>
      <c r="H254" s="1513"/>
    </row>
    <row r="255" spans="1:8" ht="28.8">
      <c r="A255" s="597"/>
      <c r="B255" s="597"/>
      <c r="C255" s="1541" t="s">
        <v>1668</v>
      </c>
      <c r="D255" s="1541"/>
      <c r="E255" s="1541"/>
      <c r="F255" s="1541"/>
      <c r="G255" s="1541"/>
      <c r="H255" s="1541"/>
    </row>
    <row r="256" spans="1:8" ht="23.4">
      <c r="A256" s="830"/>
      <c r="B256" s="830"/>
      <c r="C256" s="1541" t="s">
        <v>1367</v>
      </c>
      <c r="D256" s="1541"/>
      <c r="E256" s="1541"/>
      <c r="F256" s="1541"/>
      <c r="G256" s="1541"/>
      <c r="H256" s="1541"/>
    </row>
    <row r="257" spans="1:8" ht="15.6">
      <c r="A257" s="769"/>
      <c r="B257" s="769"/>
      <c r="C257" s="769"/>
      <c r="D257" s="769"/>
      <c r="E257" s="769"/>
      <c r="F257" s="769"/>
      <c r="G257" s="769"/>
      <c r="H257" s="769"/>
    </row>
    <row r="258" spans="1:8" ht="15.6">
      <c r="A258" s="769"/>
      <c r="B258" s="769"/>
      <c r="C258" s="769"/>
      <c r="D258" s="769"/>
      <c r="E258" s="769"/>
      <c r="F258" s="769"/>
      <c r="G258" s="769"/>
      <c r="H258" s="769"/>
    </row>
    <row r="259" spans="1:8" ht="15.6">
      <c r="A259" s="1516" t="s">
        <v>3</v>
      </c>
      <c r="B259" s="1516" t="s">
        <v>4</v>
      </c>
      <c r="C259" s="1516" t="s">
        <v>5</v>
      </c>
      <c r="D259" s="1516" t="s">
        <v>6</v>
      </c>
      <c r="E259" s="1516" t="s">
        <v>7</v>
      </c>
      <c r="F259" s="770" t="s">
        <v>8</v>
      </c>
      <c r="G259" s="770" t="s">
        <v>9</v>
      </c>
      <c r="H259" s="770" t="s">
        <v>10</v>
      </c>
    </row>
    <row r="260" spans="1:8" ht="15.6">
      <c r="A260" s="1517"/>
      <c r="B260" s="1517"/>
      <c r="C260" s="1517"/>
      <c r="D260" s="1517"/>
      <c r="E260" s="1517"/>
      <c r="F260" s="771" t="s">
        <v>11</v>
      </c>
      <c r="G260" s="771" t="s">
        <v>11</v>
      </c>
      <c r="H260" s="771" t="s">
        <v>11</v>
      </c>
    </row>
    <row r="261" spans="1:8" ht="15.6">
      <c r="A261" s="770"/>
      <c r="B261" s="772"/>
      <c r="C261" s="773"/>
      <c r="D261" s="774"/>
      <c r="E261" s="774"/>
      <c r="F261" s="774"/>
      <c r="G261" s="775"/>
      <c r="H261" s="776"/>
    </row>
    <row r="262" spans="1:8" ht="15.6">
      <c r="A262" s="786" t="s">
        <v>12</v>
      </c>
      <c r="B262" s="778" t="s">
        <v>13</v>
      </c>
      <c r="C262" s="779"/>
      <c r="D262" s="780"/>
      <c r="E262" s="780"/>
      <c r="F262" s="791"/>
      <c r="G262" s="791"/>
      <c r="H262" s="971"/>
    </row>
    <row r="263" spans="1:8" ht="15.6">
      <c r="A263" s="786"/>
      <c r="B263" s="969" t="s">
        <v>1669</v>
      </c>
      <c r="C263" s="779">
        <v>2</v>
      </c>
      <c r="D263" s="780" t="s">
        <v>44</v>
      </c>
      <c r="E263" s="780" t="s">
        <v>16</v>
      </c>
      <c r="F263" s="791">
        <v>2150000</v>
      </c>
      <c r="G263" s="999">
        <f>F263*C263</f>
        <v>4300000</v>
      </c>
      <c r="H263" s="971"/>
    </row>
    <row r="264" spans="1:8" ht="15.6">
      <c r="A264" s="786"/>
      <c r="B264" s="778" t="s">
        <v>1670</v>
      </c>
      <c r="C264" s="779"/>
      <c r="D264" s="780"/>
      <c r="E264" s="780"/>
      <c r="F264" s="791"/>
      <c r="G264" s="999"/>
      <c r="H264" s="971"/>
    </row>
    <row r="265" spans="1:8" ht="15.6">
      <c r="A265" s="786"/>
      <c r="B265" s="969" t="s">
        <v>1671</v>
      </c>
      <c r="C265" s="779">
        <v>6</v>
      </c>
      <c r="D265" s="780" t="s">
        <v>245</v>
      </c>
      <c r="E265" s="780" t="s">
        <v>82</v>
      </c>
      <c r="F265" s="791">
        <v>3418</v>
      </c>
      <c r="G265" s="999">
        <f>F265*C265</f>
        <v>20508</v>
      </c>
      <c r="H265" s="971"/>
    </row>
    <row r="266" spans="1:8" ht="15.6">
      <c r="A266" s="786"/>
      <c r="B266" s="969" t="s">
        <v>1672</v>
      </c>
      <c r="C266" s="779">
        <v>3</v>
      </c>
      <c r="D266" s="780" t="s">
        <v>44</v>
      </c>
      <c r="E266" s="780" t="s">
        <v>82</v>
      </c>
      <c r="F266" s="791">
        <v>39776</v>
      </c>
      <c r="G266" s="999">
        <f>F266*C266</f>
        <v>119328</v>
      </c>
      <c r="H266" s="971"/>
    </row>
    <row r="267" spans="1:8" ht="15.6">
      <c r="A267" s="786"/>
      <c r="B267" s="969" t="s">
        <v>1673</v>
      </c>
      <c r="C267" s="779">
        <v>2</v>
      </c>
      <c r="D267" s="780" t="s">
        <v>44</v>
      </c>
      <c r="E267" s="780" t="s">
        <v>16</v>
      </c>
      <c r="F267" s="791">
        <v>18000</v>
      </c>
      <c r="G267" s="999">
        <f>F267*C267</f>
        <v>36000</v>
      </c>
      <c r="H267" s="971"/>
    </row>
    <row r="268" spans="1:8" ht="15.6">
      <c r="A268" s="786"/>
      <c r="B268" s="969" t="s">
        <v>1748</v>
      </c>
      <c r="C268" s="779">
        <v>2</v>
      </c>
      <c r="D268" s="780" t="s">
        <v>1374</v>
      </c>
      <c r="E268" s="780" t="s">
        <v>82</v>
      </c>
      <c r="F268" s="791">
        <v>8000</v>
      </c>
      <c r="G268" s="791">
        <f>F268*C268</f>
        <v>16000</v>
      </c>
      <c r="H268" s="971"/>
    </row>
    <row r="269" spans="1:8" ht="15.6">
      <c r="A269" s="786"/>
      <c r="B269" s="778"/>
      <c r="C269" s="779"/>
      <c r="D269" s="780"/>
      <c r="E269" s="780"/>
      <c r="F269" s="791"/>
      <c r="G269" s="791"/>
      <c r="H269" s="970">
        <f>SUM(G263:G268)</f>
        <v>4491836</v>
      </c>
    </row>
    <row r="270" spans="1:8" ht="15.6">
      <c r="A270" s="786" t="s">
        <v>18</v>
      </c>
      <c r="B270" s="778" t="s">
        <v>19</v>
      </c>
      <c r="C270" s="779"/>
      <c r="D270" s="780"/>
      <c r="E270" s="780"/>
      <c r="F270" s="791"/>
      <c r="G270" s="791"/>
      <c r="H270" s="971"/>
    </row>
    <row r="271" spans="1:8" ht="15.6">
      <c r="A271" s="786"/>
      <c r="B271" s="969" t="s">
        <v>1674</v>
      </c>
      <c r="C271" s="779">
        <v>1</v>
      </c>
      <c r="D271" s="780" t="s">
        <v>69</v>
      </c>
      <c r="E271" s="780" t="s">
        <v>16</v>
      </c>
      <c r="F271" s="791">
        <v>200000</v>
      </c>
      <c r="G271" s="999">
        <f>F271*C271</f>
        <v>200000</v>
      </c>
      <c r="H271" s="971"/>
    </row>
    <row r="272" spans="1:8" ht="15.6">
      <c r="A272" s="786"/>
      <c r="B272" s="969" t="s">
        <v>1716</v>
      </c>
      <c r="C272" s="779">
        <f>2*4*0.3</f>
        <v>2.4</v>
      </c>
      <c r="D272" s="780" t="s">
        <v>81</v>
      </c>
      <c r="E272" s="780" t="s">
        <v>82</v>
      </c>
      <c r="F272" s="791">
        <v>940197</v>
      </c>
      <c r="G272" s="999">
        <f>F272*C272</f>
        <v>2256472.7999999998</v>
      </c>
      <c r="H272" s="971"/>
    </row>
    <row r="273" spans="1:12" ht="15.6">
      <c r="A273" s="786"/>
      <c r="B273" s="969" t="s">
        <v>1681</v>
      </c>
      <c r="C273" s="779">
        <v>12</v>
      </c>
      <c r="D273" s="780" t="s">
        <v>84</v>
      </c>
      <c r="E273" s="780" t="s">
        <v>16</v>
      </c>
      <c r="F273" s="791">
        <v>450000</v>
      </c>
      <c r="G273" s="999">
        <f>F273*C273</f>
        <v>5400000</v>
      </c>
      <c r="H273" s="971"/>
    </row>
    <row r="274" spans="1:12" ht="15.6">
      <c r="A274" s="786"/>
      <c r="B274" s="778" t="s">
        <v>1675</v>
      </c>
      <c r="C274" s="779"/>
      <c r="D274" s="780"/>
      <c r="E274" s="780"/>
      <c r="F274" s="791"/>
      <c r="G274" s="999"/>
      <c r="H274" s="971"/>
    </row>
    <row r="275" spans="1:12" ht="15.6">
      <c r="A275" s="786"/>
      <c r="B275" s="969" t="s">
        <v>1717</v>
      </c>
      <c r="C275" s="779">
        <v>4</v>
      </c>
      <c r="D275" s="780" t="s">
        <v>44</v>
      </c>
      <c r="E275" s="780" t="s">
        <v>51</v>
      </c>
      <c r="F275" s="791">
        <v>150000</v>
      </c>
      <c r="G275" s="999">
        <f>F275*C275</f>
        <v>600000</v>
      </c>
      <c r="H275" s="971"/>
    </row>
    <row r="276" spans="1:12" ht="15.6">
      <c r="A276" s="786"/>
      <c r="B276" s="969" t="s">
        <v>1676</v>
      </c>
      <c r="C276" s="779">
        <v>1</v>
      </c>
      <c r="D276" s="780" t="s">
        <v>69</v>
      </c>
      <c r="E276" s="780" t="s">
        <v>16</v>
      </c>
      <c r="F276" s="791">
        <v>450000</v>
      </c>
      <c r="G276" s="999">
        <f>F276*C276</f>
        <v>450000</v>
      </c>
      <c r="H276" s="971"/>
    </row>
    <row r="277" spans="1:12" ht="15.6">
      <c r="A277" s="786"/>
      <c r="B277" s="969" t="s">
        <v>1718</v>
      </c>
      <c r="C277" s="779">
        <v>3.6</v>
      </c>
      <c r="D277" s="780" t="s">
        <v>245</v>
      </c>
      <c r="E277" s="780" t="s">
        <v>82</v>
      </c>
      <c r="F277" s="791">
        <v>230775</v>
      </c>
      <c r="G277" s="999">
        <f>F277*C277</f>
        <v>830790</v>
      </c>
      <c r="H277" s="971"/>
    </row>
    <row r="278" spans="1:12" ht="15.6">
      <c r="A278" s="786"/>
      <c r="B278" s="969"/>
      <c r="C278" s="779"/>
      <c r="D278" s="780"/>
      <c r="E278" s="780"/>
      <c r="F278" s="791"/>
      <c r="G278" s="999"/>
      <c r="H278" s="971"/>
    </row>
    <row r="279" spans="1:12" ht="15.6">
      <c r="A279" s="786"/>
      <c r="B279" s="969"/>
      <c r="C279" s="779"/>
      <c r="D279" s="780"/>
      <c r="E279" s="780"/>
      <c r="F279" s="791"/>
      <c r="G279" s="999"/>
      <c r="H279" s="971"/>
    </row>
    <row r="280" spans="1:12" ht="15.6">
      <c r="A280" s="790"/>
      <c r="B280" s="777"/>
      <c r="C280" s="788"/>
      <c r="D280" s="780"/>
      <c r="E280" s="780"/>
      <c r="F280" s="788"/>
      <c r="G280" s="788"/>
      <c r="H280" s="789"/>
    </row>
    <row r="281" spans="1:12" ht="15.6">
      <c r="A281" s="793"/>
      <c r="B281" s="783"/>
      <c r="C281" s="794"/>
      <c r="D281" s="795"/>
      <c r="E281" s="811"/>
      <c r="F281" s="811" t="s">
        <v>25</v>
      </c>
      <c r="G281" s="813">
        <f>SUM(G271:G280)</f>
        <v>9737262.8000000007</v>
      </c>
      <c r="H281" s="810"/>
    </row>
    <row r="282" spans="1:12" ht="15.6">
      <c r="A282" s="820"/>
      <c r="B282" s="821"/>
      <c r="C282" s="822"/>
      <c r="D282" s="822"/>
      <c r="E282" s="823"/>
      <c r="F282" s="819" t="s">
        <v>1151</v>
      </c>
      <c r="G282" s="964">
        <f>G281*10%</f>
        <v>973726.28000000014</v>
      </c>
      <c r="H282" s="825"/>
    </row>
    <row r="283" spans="1:12" ht="15.6">
      <c r="A283" s="796"/>
      <c r="B283" s="797"/>
      <c r="C283" s="784"/>
      <c r="D283" s="784"/>
      <c r="E283" s="785"/>
      <c r="F283" s="812"/>
      <c r="G283" s="798"/>
      <c r="H283" s="826">
        <f>G281+G282</f>
        <v>10710989.08</v>
      </c>
    </row>
    <row r="284" spans="1:12" ht="15.6">
      <c r="A284" s="820"/>
      <c r="B284" s="821"/>
      <c r="C284" s="822"/>
      <c r="D284" s="822"/>
      <c r="E284" s="823"/>
      <c r="F284" s="819"/>
      <c r="G284" s="824"/>
      <c r="H284" s="827"/>
      <c r="K284" s="1000">
        <f>3.14*200*2</f>
        <v>1256</v>
      </c>
      <c r="L284" s="1000">
        <f>3.14*150*1</f>
        <v>471</v>
      </c>
    </row>
    <row r="285" spans="1:12" ht="15.6">
      <c r="A285" s="799"/>
      <c r="B285" s="800"/>
      <c r="C285" s="800"/>
      <c r="D285" s="800"/>
      <c r="E285" s="800"/>
      <c r="F285" s="801"/>
      <c r="G285" s="828" t="s">
        <v>28</v>
      </c>
      <c r="H285" s="775">
        <f>H283+H269</f>
        <v>15202825.08</v>
      </c>
      <c r="K285" s="1000">
        <f>SUM(K284:K284)</f>
        <v>1256</v>
      </c>
    </row>
    <row r="286" spans="1:12" ht="15.6">
      <c r="A286" s="802"/>
      <c r="B286" s="803"/>
      <c r="C286" s="804"/>
      <c r="D286" s="804"/>
      <c r="E286" s="804"/>
      <c r="F286" s="805"/>
      <c r="G286" s="829" t="s">
        <v>30</v>
      </c>
      <c r="H286" s="807">
        <f>ROUND(H285,-2)</f>
        <v>15202800</v>
      </c>
      <c r="K286" s="1000"/>
    </row>
    <row r="287" spans="1:12" ht="15.6">
      <c r="A287" s="49"/>
      <c r="B287" s="49"/>
      <c r="C287" s="49"/>
      <c r="D287" s="49"/>
      <c r="E287" s="49"/>
      <c r="F287" s="49"/>
      <c r="G287" s="49"/>
      <c r="H287" s="50"/>
    </row>
    <row r="288" spans="1:12" ht="18">
      <c r="A288" s="768" t="s">
        <v>1150</v>
      </c>
      <c r="B288" s="49"/>
      <c r="C288" s="49"/>
      <c r="D288" s="49"/>
      <c r="E288" s="49"/>
      <c r="F288" s="49"/>
      <c r="G288" s="49"/>
      <c r="H288" s="50"/>
    </row>
    <row r="289" spans="1:8" ht="17.399999999999999">
      <c r="A289" s="49"/>
      <c r="B289" s="965" t="s">
        <v>1749</v>
      </c>
      <c r="C289" s="49"/>
      <c r="D289" s="49"/>
      <c r="E289" s="49"/>
      <c r="F289" s="49"/>
      <c r="G289" s="49"/>
      <c r="H289" s="50"/>
    </row>
    <row r="290" spans="1:8" ht="15.6">
      <c r="A290" s="49"/>
      <c r="B290" s="49"/>
      <c r="C290" s="49"/>
      <c r="D290" s="49"/>
      <c r="E290" s="49"/>
      <c r="F290" s="49"/>
      <c r="G290" s="49"/>
      <c r="H290" s="50"/>
    </row>
    <row r="291" spans="1:8" ht="15.6">
      <c r="A291" s="51"/>
      <c r="B291" s="51"/>
      <c r="C291" s="51"/>
      <c r="D291" s="51"/>
      <c r="E291" s="51"/>
      <c r="F291" s="51"/>
      <c r="G291" s="1509" t="s">
        <v>1677</v>
      </c>
      <c r="H291" s="1509"/>
    </row>
    <row r="292" spans="1:8" ht="15.6">
      <c r="A292" s="1509" t="s">
        <v>31</v>
      </c>
      <c r="B292" s="1509"/>
      <c r="C292" s="1509" t="s">
        <v>32</v>
      </c>
      <c r="D292" s="1509"/>
      <c r="E292" s="1509"/>
      <c r="F292" s="51"/>
      <c r="G292" s="1509" t="s">
        <v>33</v>
      </c>
      <c r="H292" s="1509"/>
    </row>
    <row r="293" spans="1:8" ht="15.6">
      <c r="A293" s="51"/>
      <c r="B293" s="51"/>
      <c r="C293" s="51"/>
      <c r="D293" s="51"/>
      <c r="E293" s="51"/>
      <c r="F293" s="51"/>
      <c r="G293" s="51"/>
      <c r="H293" s="51"/>
    </row>
    <row r="294" spans="1:8" ht="15.6">
      <c r="A294" s="51"/>
      <c r="B294" s="51"/>
      <c r="C294" s="51"/>
      <c r="D294" s="51"/>
      <c r="E294" s="51"/>
      <c r="F294" s="51"/>
      <c r="G294" s="51"/>
      <c r="H294" s="51"/>
    </row>
    <row r="295" spans="1:8" ht="15.6">
      <c r="A295" s="51"/>
      <c r="B295" s="51"/>
      <c r="C295" s="51"/>
      <c r="D295" s="51"/>
      <c r="E295" s="51"/>
      <c r="F295" s="51"/>
      <c r="G295" s="51"/>
      <c r="H295" s="51"/>
    </row>
    <row r="296" spans="1:8" ht="15.6">
      <c r="A296" s="1512" t="s">
        <v>1622</v>
      </c>
      <c r="B296" s="1512"/>
      <c r="C296" s="1512" t="s">
        <v>1603</v>
      </c>
      <c r="D296" s="1512"/>
      <c r="E296" s="1512"/>
      <c r="F296" s="51"/>
      <c r="G296" s="1512" t="s">
        <v>1661</v>
      </c>
      <c r="H296" s="1512"/>
    </row>
    <row r="297" spans="1:8" ht="15.6">
      <c r="A297" s="1509" t="s">
        <v>37</v>
      </c>
      <c r="B297" s="1509"/>
      <c r="C297" s="1509" t="s">
        <v>1604</v>
      </c>
      <c r="D297" s="1509"/>
      <c r="E297" s="1509"/>
      <c r="F297" s="51"/>
      <c r="G297" s="1509" t="s">
        <v>39</v>
      </c>
      <c r="H297" s="1509"/>
    </row>
    <row r="298" spans="1:8" ht="15.6">
      <c r="A298" s="602"/>
      <c r="B298" s="602"/>
      <c r="C298" s="602"/>
      <c r="D298" s="602"/>
      <c r="E298" s="602"/>
      <c r="F298" s="51"/>
      <c r="G298" s="602"/>
      <c r="H298" s="602"/>
    </row>
    <row r="301" spans="1:8" ht="28.8">
      <c r="A301" s="597"/>
      <c r="B301" s="597"/>
      <c r="C301" s="1513" t="s">
        <v>1077</v>
      </c>
      <c r="D301" s="1513"/>
      <c r="E301" s="1513"/>
      <c r="F301" s="1513"/>
      <c r="G301" s="1513"/>
      <c r="H301" s="1513"/>
    </row>
    <row r="302" spans="1:8" ht="28.8">
      <c r="A302" s="597"/>
      <c r="B302" s="597"/>
      <c r="C302" s="1541" t="s">
        <v>1662</v>
      </c>
      <c r="D302" s="1541"/>
      <c r="E302" s="1541"/>
      <c r="F302" s="1541"/>
      <c r="G302" s="1541"/>
      <c r="H302" s="1541"/>
    </row>
    <row r="303" spans="1:8" ht="23.4">
      <c r="A303" s="830"/>
      <c r="B303" s="830"/>
      <c r="C303" s="1541" t="s">
        <v>1663</v>
      </c>
      <c r="D303" s="1541"/>
      <c r="E303" s="1541"/>
      <c r="F303" s="1541"/>
      <c r="G303" s="1541"/>
      <c r="H303" s="1541"/>
    </row>
    <row r="304" spans="1:8" ht="15.6">
      <c r="A304" s="769"/>
      <c r="B304" s="769"/>
      <c r="C304" s="769"/>
      <c r="D304" s="769"/>
      <c r="E304" s="769"/>
      <c r="F304" s="769"/>
      <c r="G304" s="769"/>
      <c r="H304" s="769"/>
    </row>
    <row r="305" spans="1:8" ht="15.6">
      <c r="A305" s="769"/>
      <c r="B305" s="769"/>
      <c r="C305" s="769"/>
      <c r="D305" s="769"/>
      <c r="E305" s="769"/>
      <c r="F305" s="769"/>
      <c r="G305" s="769"/>
      <c r="H305" s="769"/>
    </row>
    <row r="306" spans="1:8" ht="18">
      <c r="A306" s="1531" t="s">
        <v>3</v>
      </c>
      <c r="B306" s="1531" t="s">
        <v>4</v>
      </c>
      <c r="C306" s="1531" t="s">
        <v>5</v>
      </c>
      <c r="D306" s="1531" t="s">
        <v>6</v>
      </c>
      <c r="E306" s="1531" t="s">
        <v>7</v>
      </c>
      <c r="F306" s="1001" t="s">
        <v>8</v>
      </c>
      <c r="G306" s="1001" t="s">
        <v>9</v>
      </c>
      <c r="H306" s="1001" t="s">
        <v>10</v>
      </c>
    </row>
    <row r="307" spans="1:8" ht="18">
      <c r="A307" s="1532"/>
      <c r="B307" s="1532"/>
      <c r="C307" s="1532"/>
      <c r="D307" s="1532"/>
      <c r="E307" s="1532"/>
      <c r="F307" s="1002" t="s">
        <v>11</v>
      </c>
      <c r="G307" s="1002" t="s">
        <v>11</v>
      </c>
      <c r="H307" s="1002" t="s">
        <v>11</v>
      </c>
    </row>
    <row r="308" spans="1:8" ht="18">
      <c r="A308" s="1001"/>
      <c r="B308" s="1003"/>
      <c r="C308" s="1004"/>
      <c r="D308" s="1005"/>
      <c r="E308" s="1005"/>
      <c r="F308" s="1005"/>
      <c r="G308" s="1006"/>
      <c r="H308" s="1057"/>
    </row>
    <row r="309" spans="1:8" ht="18">
      <c r="A309" s="1008" t="s">
        <v>12</v>
      </c>
      <c r="B309" s="1021" t="s">
        <v>13</v>
      </c>
      <c r="C309" s="1010"/>
      <c r="D309" s="1011"/>
      <c r="E309" s="1011"/>
      <c r="F309" s="1012"/>
      <c r="G309" s="1012"/>
      <c r="H309" s="1058"/>
    </row>
    <row r="310" spans="1:8" ht="18">
      <c r="A310" s="1008"/>
      <c r="B310" s="1009" t="s">
        <v>1682</v>
      </c>
      <c r="C310" s="1059">
        <v>4</v>
      </c>
      <c r="D310" s="1011" t="s">
        <v>44</v>
      </c>
      <c r="E310" s="1011" t="s">
        <v>82</v>
      </c>
      <c r="F310" s="1012">
        <v>254100</v>
      </c>
      <c r="G310" s="1060">
        <f>F310*C310</f>
        <v>1016400</v>
      </c>
      <c r="H310" s="1058"/>
    </row>
    <row r="311" spans="1:8" ht="18">
      <c r="A311" s="1008"/>
      <c r="B311" s="1009" t="s">
        <v>1683</v>
      </c>
      <c r="C311" s="1059">
        <v>2</v>
      </c>
      <c r="D311" s="1011" t="s">
        <v>44</v>
      </c>
      <c r="E311" s="1011" t="s">
        <v>82</v>
      </c>
      <c r="F311" s="1012">
        <v>130700</v>
      </c>
      <c r="G311" s="1060">
        <f>F311*C311</f>
        <v>261400</v>
      </c>
      <c r="H311" s="1058"/>
    </row>
    <row r="312" spans="1:8" ht="18">
      <c r="A312" s="1008"/>
      <c r="B312" s="1009" t="s">
        <v>1664</v>
      </c>
      <c r="C312" s="1059">
        <v>1</v>
      </c>
      <c r="D312" s="1011" t="s">
        <v>44</v>
      </c>
      <c r="E312" s="1011" t="s">
        <v>82</v>
      </c>
      <c r="F312" s="1012">
        <v>175000</v>
      </c>
      <c r="G312" s="1060">
        <f>F312*C312</f>
        <v>175000</v>
      </c>
      <c r="H312" s="1058"/>
    </row>
    <row r="313" spans="1:8" ht="18.75" customHeight="1">
      <c r="A313" s="1008"/>
      <c r="B313" s="1009" t="s">
        <v>1043</v>
      </c>
      <c r="C313" s="1059">
        <v>2</v>
      </c>
      <c r="D313" s="1011" t="s">
        <v>1665</v>
      </c>
      <c r="E313" s="1011" t="s">
        <v>82</v>
      </c>
      <c r="F313" s="1012">
        <v>132000</v>
      </c>
      <c r="G313" s="1060">
        <f>F313*C313</f>
        <v>264000</v>
      </c>
      <c r="H313" s="1058"/>
    </row>
    <row r="314" spans="1:8" ht="16.5" customHeight="1">
      <c r="A314" s="1008"/>
      <c r="B314" s="1009" t="s">
        <v>1713</v>
      </c>
      <c r="C314" s="1059">
        <v>3</v>
      </c>
      <c r="D314" s="1011" t="s">
        <v>1665</v>
      </c>
      <c r="E314" s="1011" t="s">
        <v>16</v>
      </c>
      <c r="F314" s="1012">
        <v>600000</v>
      </c>
      <c r="G314" s="1060">
        <f>F314*C314</f>
        <v>1800000</v>
      </c>
      <c r="H314" s="1058"/>
    </row>
    <row r="315" spans="1:8" ht="18">
      <c r="A315" s="1008"/>
      <c r="B315" s="1021"/>
      <c r="C315" s="1059"/>
      <c r="D315" s="1011"/>
      <c r="E315" s="1011"/>
      <c r="F315" s="1012"/>
      <c r="G315" s="1012"/>
      <c r="H315" s="1058"/>
    </row>
    <row r="316" spans="1:8" ht="18">
      <c r="A316" s="1008"/>
      <c r="B316" s="1021"/>
      <c r="C316" s="1059"/>
      <c r="D316" s="1011"/>
      <c r="E316" s="1011"/>
      <c r="F316" s="1012"/>
      <c r="G316" s="1012"/>
      <c r="H316" s="1061">
        <f>SUM(G310:G315)</f>
        <v>3516800</v>
      </c>
    </row>
    <row r="317" spans="1:8" ht="18">
      <c r="A317" s="1008" t="s">
        <v>18</v>
      </c>
      <c r="B317" s="1021" t="s">
        <v>19</v>
      </c>
      <c r="C317" s="1059"/>
      <c r="D317" s="1011"/>
      <c r="E317" s="1011"/>
      <c r="F317" s="1012"/>
      <c r="G317" s="1012"/>
      <c r="H317" s="1058"/>
    </row>
    <row r="318" spans="1:8" ht="18">
      <c r="A318" s="1008"/>
      <c r="B318" s="1009" t="s">
        <v>1714</v>
      </c>
      <c r="C318" s="1064" t="s">
        <v>1743</v>
      </c>
      <c r="D318" s="1011" t="s">
        <v>245</v>
      </c>
      <c r="E318" s="1011" t="s">
        <v>82</v>
      </c>
      <c r="F318" s="1012">
        <v>214375</v>
      </c>
      <c r="G318" s="1060">
        <v>807765</v>
      </c>
      <c r="H318" s="1058"/>
    </row>
    <row r="319" spans="1:8" ht="18">
      <c r="A319" s="1008"/>
      <c r="B319" s="1009" t="s">
        <v>1715</v>
      </c>
      <c r="C319" s="1064" t="s">
        <v>1744</v>
      </c>
      <c r="D319" s="1011" t="s">
        <v>245</v>
      </c>
      <c r="E319" s="1011" t="s">
        <v>82</v>
      </c>
      <c r="F319" s="1012">
        <v>214375</v>
      </c>
      <c r="G319" s="1060">
        <v>908735</v>
      </c>
      <c r="H319" s="1058"/>
    </row>
    <row r="320" spans="1:8" ht="18">
      <c r="A320" s="1008"/>
      <c r="B320" s="1009" t="s">
        <v>1666</v>
      </c>
      <c r="C320" s="1059">
        <v>3</v>
      </c>
      <c r="D320" s="1011" t="s">
        <v>44</v>
      </c>
      <c r="E320" s="1011" t="s">
        <v>82</v>
      </c>
      <c r="F320" s="1012">
        <v>303760</v>
      </c>
      <c r="G320" s="1060">
        <f>F320*C320</f>
        <v>911280</v>
      </c>
      <c r="H320" s="1058"/>
    </row>
    <row r="321" spans="1:8" ht="18">
      <c r="A321" s="1023"/>
      <c r="B321" s="1024"/>
      <c r="C321" s="1022"/>
      <c r="D321" s="1011"/>
      <c r="E321" s="1011"/>
      <c r="F321" s="1022"/>
      <c r="G321" s="1022"/>
      <c r="H321" s="1007"/>
    </row>
    <row r="322" spans="1:8" ht="18">
      <c r="A322" s="1025"/>
      <c r="B322" s="1026"/>
      <c r="C322" s="1027"/>
      <c r="D322" s="1028"/>
      <c r="E322" s="1029"/>
      <c r="F322" s="1029" t="s">
        <v>25</v>
      </c>
      <c r="G322" s="1030">
        <f>SUM(G318:G321)</f>
        <v>2627780</v>
      </c>
      <c r="H322" s="1018"/>
    </row>
    <row r="323" spans="1:8" ht="18">
      <c r="A323" s="1031"/>
      <c r="B323" s="1032"/>
      <c r="C323" s="1033"/>
      <c r="D323" s="1033"/>
      <c r="E323" s="1034"/>
      <c r="F323" s="1035" t="s">
        <v>1151</v>
      </c>
      <c r="G323" s="1036">
        <f>G322*10%</f>
        <v>262778</v>
      </c>
      <c r="H323" s="1037"/>
    </row>
    <row r="324" spans="1:8" ht="18">
      <c r="A324" s="1038"/>
      <c r="B324" s="1039"/>
      <c r="C324" s="1040"/>
      <c r="D324" s="1040"/>
      <c r="E324" s="1041"/>
      <c r="F324" s="1042"/>
      <c r="G324" s="1043"/>
      <c r="H324" s="1044">
        <f>G322+G323</f>
        <v>2890558</v>
      </c>
    </row>
    <row r="325" spans="1:8" ht="18">
      <c r="A325" s="1031"/>
      <c r="B325" s="1032"/>
      <c r="C325" s="1033"/>
      <c r="D325" s="1033"/>
      <c r="E325" s="1034"/>
      <c r="F325" s="1035"/>
      <c r="G325" s="1045"/>
      <c r="H325" s="1046"/>
    </row>
    <row r="326" spans="1:8" ht="18">
      <c r="A326" s="1047"/>
      <c r="B326" s="1048"/>
      <c r="C326" s="1048"/>
      <c r="D326" s="1048"/>
      <c r="E326" s="1048"/>
      <c r="F326" s="1049"/>
      <c r="G326" s="1050" t="s">
        <v>28</v>
      </c>
      <c r="H326" s="1006">
        <f>H324+H316</f>
        <v>6407358</v>
      </c>
    </row>
    <row r="327" spans="1:8" ht="18">
      <c r="A327" s="1051"/>
      <c r="B327" s="1052"/>
      <c r="C327" s="1053"/>
      <c r="D327" s="1053"/>
      <c r="E327" s="1053"/>
      <c r="F327" s="1054"/>
      <c r="G327" s="1055" t="s">
        <v>30</v>
      </c>
      <c r="H327" s="1056">
        <f>ROUND(H326,-3)</f>
        <v>6407000</v>
      </c>
    </row>
    <row r="328" spans="1:8" ht="15.6">
      <c r="A328" s="49"/>
      <c r="B328" s="49"/>
      <c r="C328" s="49"/>
      <c r="D328" s="49"/>
      <c r="E328" s="49"/>
      <c r="F328" s="49"/>
      <c r="G328" s="49"/>
      <c r="H328" s="50"/>
    </row>
    <row r="329" spans="1:8" ht="18">
      <c r="A329" s="768" t="s">
        <v>1150</v>
      </c>
      <c r="B329" s="49"/>
      <c r="C329" s="49"/>
      <c r="D329" s="49"/>
      <c r="E329" s="49"/>
      <c r="F329" s="49"/>
      <c r="G329" s="49"/>
      <c r="H329" s="50"/>
    </row>
    <row r="330" spans="1:8" ht="17.399999999999999">
      <c r="A330" s="49"/>
      <c r="B330" s="965" t="s">
        <v>1745</v>
      </c>
      <c r="C330" s="49"/>
      <c r="D330" s="49"/>
      <c r="E330" s="49"/>
      <c r="F330" s="49"/>
      <c r="G330" s="49"/>
      <c r="H330" s="50"/>
    </row>
    <row r="331" spans="1:8" ht="15.6">
      <c r="A331" s="49"/>
      <c r="B331" s="49"/>
      <c r="C331" s="49"/>
      <c r="D331" s="49"/>
      <c r="E331" s="49"/>
      <c r="F331" s="49"/>
      <c r="G331" s="49"/>
      <c r="H331" s="50"/>
    </row>
    <row r="332" spans="1:8" ht="18">
      <c r="A332" s="958"/>
      <c r="B332" s="958"/>
      <c r="C332" s="958"/>
      <c r="D332" s="958"/>
      <c r="E332" s="958"/>
      <c r="F332" s="958"/>
      <c r="G332" s="1530" t="s">
        <v>1677</v>
      </c>
      <c r="H332" s="1530"/>
    </row>
    <row r="333" spans="1:8" ht="18">
      <c r="A333" s="1530" t="s">
        <v>31</v>
      </c>
      <c r="B333" s="1530"/>
      <c r="C333" s="1530" t="s">
        <v>32</v>
      </c>
      <c r="D333" s="1530"/>
      <c r="E333" s="1530"/>
      <c r="F333" s="958"/>
      <c r="G333" s="1530" t="s">
        <v>33</v>
      </c>
      <c r="H333" s="1530"/>
    </row>
    <row r="334" spans="1:8" ht="18">
      <c r="A334" s="958"/>
      <c r="B334" s="958"/>
      <c r="C334" s="958"/>
      <c r="D334" s="958"/>
      <c r="E334" s="958"/>
      <c r="F334" s="958"/>
      <c r="G334" s="958"/>
      <c r="H334" s="958"/>
    </row>
    <row r="335" spans="1:8" ht="18">
      <c r="A335" s="958"/>
      <c r="B335" s="958"/>
      <c r="C335" s="958"/>
      <c r="D335" s="958"/>
      <c r="E335" s="958"/>
      <c r="F335" s="958"/>
      <c r="G335" s="958"/>
      <c r="H335" s="958"/>
    </row>
    <row r="336" spans="1:8" ht="18">
      <c r="A336" s="958"/>
      <c r="B336" s="958"/>
      <c r="C336" s="958"/>
      <c r="D336" s="958"/>
      <c r="E336" s="958"/>
      <c r="F336" s="958"/>
      <c r="G336" s="958"/>
      <c r="H336" s="958"/>
    </row>
    <row r="337" spans="1:8" ht="18">
      <c r="A337" s="1529" t="s">
        <v>1622</v>
      </c>
      <c r="B337" s="1529"/>
      <c r="C337" s="1529" t="s">
        <v>1603</v>
      </c>
      <c r="D337" s="1529"/>
      <c r="E337" s="1529"/>
      <c r="F337" s="958"/>
      <c r="G337" s="1529" t="s">
        <v>1661</v>
      </c>
      <c r="H337" s="1529"/>
    </row>
    <row r="338" spans="1:8" ht="18">
      <c r="A338" s="1530" t="s">
        <v>37</v>
      </c>
      <c r="B338" s="1530"/>
      <c r="C338" s="1530" t="s">
        <v>1604</v>
      </c>
      <c r="D338" s="1530"/>
      <c r="E338" s="1530"/>
      <c r="F338" s="958"/>
      <c r="G338" s="1530" t="s">
        <v>39</v>
      </c>
      <c r="H338" s="1530"/>
    </row>
    <row r="339" spans="1:8" ht="15.6">
      <c r="A339" s="602"/>
      <c r="B339" s="602"/>
      <c r="C339" s="602"/>
      <c r="D339" s="602"/>
      <c r="E339" s="602"/>
      <c r="F339" s="51"/>
      <c r="G339" s="602"/>
      <c r="H339" s="602"/>
    </row>
    <row r="343" spans="1:8" ht="28.8">
      <c r="A343" s="597"/>
      <c r="B343" s="597"/>
      <c r="C343" s="1513" t="s">
        <v>235</v>
      </c>
      <c r="D343" s="1513"/>
      <c r="E343" s="1513"/>
      <c r="F343" s="1513"/>
      <c r="G343" s="1513"/>
      <c r="H343" s="1513"/>
    </row>
    <row r="344" spans="1:8" ht="28.8">
      <c r="A344" s="597"/>
      <c r="B344" s="597"/>
      <c r="C344" s="1541" t="s">
        <v>1651</v>
      </c>
      <c r="D344" s="1541"/>
      <c r="E344" s="1541"/>
      <c r="F344" s="1541"/>
      <c r="G344" s="1541"/>
      <c r="H344" s="1541"/>
    </row>
    <row r="345" spans="1:8" ht="23.4">
      <c r="A345" s="830"/>
      <c r="B345" s="830"/>
      <c r="C345" s="1541" t="s">
        <v>1762</v>
      </c>
      <c r="D345" s="1541"/>
      <c r="E345" s="1541"/>
      <c r="F345" s="1541"/>
      <c r="G345" s="1541"/>
      <c r="H345" s="1541"/>
    </row>
    <row r="346" spans="1:8" ht="15.6">
      <c r="A346" s="769"/>
      <c r="B346" s="769"/>
      <c r="C346" s="769"/>
      <c r="D346" s="769"/>
      <c r="E346" s="769"/>
      <c r="F346" s="769"/>
      <c r="G346" s="769"/>
      <c r="H346" s="769"/>
    </row>
    <row r="347" spans="1:8" ht="15.6">
      <c r="A347" s="769"/>
      <c r="B347" s="769"/>
      <c r="C347" s="769"/>
      <c r="D347" s="769"/>
      <c r="E347" s="769"/>
      <c r="F347" s="769"/>
      <c r="G347" s="769"/>
      <c r="H347" s="769"/>
    </row>
    <row r="348" spans="1:8" ht="15.6">
      <c r="A348" s="1516" t="s">
        <v>3</v>
      </c>
      <c r="B348" s="1516" t="s">
        <v>4</v>
      </c>
      <c r="C348" s="1516" t="s">
        <v>5</v>
      </c>
      <c r="D348" s="1516" t="s">
        <v>6</v>
      </c>
      <c r="E348" s="1516" t="s">
        <v>7</v>
      </c>
      <c r="F348" s="770" t="s">
        <v>8</v>
      </c>
      <c r="G348" s="770" t="s">
        <v>9</v>
      </c>
      <c r="H348" s="770" t="s">
        <v>10</v>
      </c>
    </row>
    <row r="349" spans="1:8" ht="15.6">
      <c r="A349" s="1517"/>
      <c r="B349" s="1517"/>
      <c r="C349" s="1517"/>
      <c r="D349" s="1517"/>
      <c r="E349" s="1517"/>
      <c r="F349" s="771" t="s">
        <v>11</v>
      </c>
      <c r="G349" s="771" t="s">
        <v>11</v>
      </c>
      <c r="H349" s="771" t="s">
        <v>11</v>
      </c>
    </row>
    <row r="350" spans="1:8" ht="15.6">
      <c r="A350" s="770"/>
      <c r="B350" s="772"/>
      <c r="C350" s="773"/>
      <c r="D350" s="774"/>
      <c r="E350" s="774"/>
      <c r="F350" s="774"/>
      <c r="G350" s="775"/>
      <c r="H350" s="776"/>
    </row>
    <row r="351" spans="1:8" ht="15.6">
      <c r="A351" s="786" t="s">
        <v>12</v>
      </c>
      <c r="B351" s="778" t="s">
        <v>13</v>
      </c>
      <c r="C351" s="779"/>
      <c r="D351" s="780"/>
      <c r="E351" s="780"/>
      <c r="F351" s="791"/>
      <c r="G351" s="791"/>
      <c r="H351" s="971"/>
    </row>
    <row r="352" spans="1:8" ht="15.6">
      <c r="A352" s="786"/>
      <c r="B352" s="969" t="s">
        <v>1652</v>
      </c>
      <c r="C352" s="779">
        <v>3</v>
      </c>
      <c r="D352" s="780" t="s">
        <v>44</v>
      </c>
      <c r="E352" s="780" t="s">
        <v>366</v>
      </c>
      <c r="F352" s="780" t="s">
        <v>126</v>
      </c>
      <c r="G352" s="986" t="s">
        <v>126</v>
      </c>
      <c r="H352" s="971"/>
    </row>
    <row r="353" spans="1:8" ht="15.6">
      <c r="A353" s="786"/>
      <c r="B353" s="969" t="s">
        <v>1653</v>
      </c>
      <c r="C353" s="779">
        <v>3</v>
      </c>
      <c r="D353" s="780" t="s">
        <v>44</v>
      </c>
      <c r="E353" s="780" t="s">
        <v>366</v>
      </c>
      <c r="F353" s="791" t="s">
        <v>126</v>
      </c>
      <c r="G353" s="791" t="s">
        <v>126</v>
      </c>
      <c r="H353" s="971"/>
    </row>
    <row r="354" spans="1:8" ht="15.6">
      <c r="A354" s="786"/>
      <c r="B354" s="969" t="s">
        <v>1792</v>
      </c>
      <c r="C354" s="779">
        <v>150</v>
      </c>
      <c r="D354" s="780" t="s">
        <v>245</v>
      </c>
      <c r="E354" s="780" t="s">
        <v>16</v>
      </c>
      <c r="F354" s="998">
        <v>29500</v>
      </c>
      <c r="G354" s="999">
        <f t="shared" ref="G354:G359" si="5">F354*C354</f>
        <v>4425000</v>
      </c>
      <c r="H354" s="971"/>
    </row>
    <row r="355" spans="1:8" ht="15.6">
      <c r="A355" s="786"/>
      <c r="B355" s="969" t="s">
        <v>1793</v>
      </c>
      <c r="C355" s="779">
        <v>9</v>
      </c>
      <c r="D355" s="780" t="s">
        <v>44</v>
      </c>
      <c r="E355" s="780" t="s">
        <v>16</v>
      </c>
      <c r="F355" s="791">
        <v>125000</v>
      </c>
      <c r="G355" s="999">
        <f t="shared" si="5"/>
        <v>1125000</v>
      </c>
      <c r="H355" s="971"/>
    </row>
    <row r="356" spans="1:8" ht="15.6">
      <c r="A356" s="786"/>
      <c r="B356" s="969" t="s">
        <v>1794</v>
      </c>
      <c r="C356" s="779">
        <v>3</v>
      </c>
      <c r="D356" s="780" t="s">
        <v>44</v>
      </c>
      <c r="E356" s="780" t="s">
        <v>16</v>
      </c>
      <c r="F356" s="791">
        <v>450000</v>
      </c>
      <c r="G356" s="999">
        <f t="shared" si="5"/>
        <v>1350000</v>
      </c>
      <c r="H356" s="971"/>
    </row>
    <row r="357" spans="1:8" ht="15.6">
      <c r="A357" s="786"/>
      <c r="B357" s="969" t="s">
        <v>1795</v>
      </c>
      <c r="C357" s="779">
        <v>3</v>
      </c>
      <c r="D357" s="780" t="s">
        <v>44</v>
      </c>
      <c r="E357" s="780" t="s">
        <v>16</v>
      </c>
      <c r="F357" s="791">
        <v>550000</v>
      </c>
      <c r="G357" s="999">
        <f t="shared" si="5"/>
        <v>1650000</v>
      </c>
      <c r="H357" s="971"/>
    </row>
    <row r="358" spans="1:8" ht="16.649999999999999" customHeight="1">
      <c r="A358" s="786"/>
      <c r="B358" s="969" t="s">
        <v>1796</v>
      </c>
      <c r="C358" s="779">
        <v>36</v>
      </c>
      <c r="D358" s="780" t="s">
        <v>44</v>
      </c>
      <c r="E358" s="780" t="s">
        <v>16</v>
      </c>
      <c r="F358" s="1074">
        <v>105000</v>
      </c>
      <c r="G358" s="999">
        <f t="shared" si="5"/>
        <v>3780000</v>
      </c>
      <c r="H358" s="970"/>
    </row>
    <row r="359" spans="1:8" ht="16.649999999999999" customHeight="1" thickBot="1">
      <c r="A359" s="786"/>
      <c r="B359" s="969" t="s">
        <v>1797</v>
      </c>
      <c r="C359" s="779">
        <v>3</v>
      </c>
      <c r="D359" s="780" t="s">
        <v>44</v>
      </c>
      <c r="E359" s="780" t="s">
        <v>16</v>
      </c>
      <c r="F359" s="1075">
        <v>225000</v>
      </c>
      <c r="G359" s="999">
        <f t="shared" si="5"/>
        <v>675000</v>
      </c>
      <c r="H359" s="970"/>
    </row>
    <row r="360" spans="1:8" ht="15.75" customHeight="1" thickTop="1" thickBot="1">
      <c r="A360" s="786"/>
      <c r="B360" s="969"/>
      <c r="C360" s="779"/>
      <c r="D360" s="780"/>
      <c r="E360" s="780"/>
      <c r="F360" s="1570" t="s">
        <v>1798</v>
      </c>
      <c r="G360" s="1571"/>
      <c r="H360" s="1066">
        <f>SUM(G354:G359)</f>
        <v>13005000</v>
      </c>
    </row>
    <row r="361" spans="1:8" ht="16.2" thickTop="1">
      <c r="A361" s="786" t="s">
        <v>18</v>
      </c>
      <c r="B361" s="778" t="s">
        <v>19</v>
      </c>
      <c r="C361" s="779"/>
      <c r="D361" s="780"/>
      <c r="E361" s="780"/>
      <c r="F361" s="791"/>
      <c r="G361" s="791"/>
      <c r="H361" s="971"/>
    </row>
    <row r="362" spans="1:8" ht="15.6">
      <c r="A362" s="786"/>
      <c r="B362" s="969" t="s">
        <v>1799</v>
      </c>
      <c r="C362" s="779">
        <v>3</v>
      </c>
      <c r="D362" s="780" t="s">
        <v>400</v>
      </c>
      <c r="E362" s="780" t="s">
        <v>16</v>
      </c>
      <c r="F362" s="791">
        <v>3000000</v>
      </c>
      <c r="G362" s="999">
        <f>F362*C362</f>
        <v>9000000</v>
      </c>
      <c r="H362" s="971"/>
    </row>
    <row r="363" spans="1:8" ht="15.6">
      <c r="A363" s="786"/>
      <c r="B363" s="969" t="s">
        <v>1754</v>
      </c>
      <c r="C363" s="779">
        <v>3</v>
      </c>
      <c r="D363" s="780" t="s">
        <v>1755</v>
      </c>
      <c r="E363" s="780" t="s">
        <v>16</v>
      </c>
      <c r="F363" s="791">
        <v>1250000</v>
      </c>
      <c r="G363" s="999">
        <f>F363*C363</f>
        <v>3750000</v>
      </c>
      <c r="H363" s="971"/>
    </row>
    <row r="364" spans="1:8" ht="15.6">
      <c r="A364" s="793"/>
      <c r="B364" s="783"/>
      <c r="C364" s="794"/>
      <c r="D364" s="795"/>
      <c r="E364" s="811"/>
      <c r="F364" s="811" t="s">
        <v>25</v>
      </c>
      <c r="G364" s="813">
        <f>SUM(G362:G363)</f>
        <v>12750000</v>
      </c>
      <c r="H364" s="810"/>
    </row>
    <row r="365" spans="1:8" ht="16.2" thickBot="1">
      <c r="A365" s="796"/>
      <c r="B365" s="797"/>
      <c r="C365" s="784"/>
      <c r="D365" s="784"/>
      <c r="E365" s="785"/>
      <c r="F365" s="812" t="s">
        <v>1151</v>
      </c>
      <c r="G365" s="1065">
        <f>G364*10%</f>
        <v>1275000</v>
      </c>
      <c r="H365" s="825"/>
    </row>
    <row r="366" spans="1:8" ht="19.2" thickTop="1" thickBot="1">
      <c r="A366" s="820"/>
      <c r="B366" s="821"/>
      <c r="C366" s="822"/>
      <c r="D366" s="822"/>
      <c r="E366" s="1572" t="s">
        <v>1757</v>
      </c>
      <c r="F366" s="1572"/>
      <c r="G366" s="1573"/>
      <c r="H366" s="1067">
        <f>G364+G365</f>
        <v>14025000</v>
      </c>
    </row>
    <row r="367" spans="1:8" ht="16.2" thickTop="1">
      <c r="A367" s="796"/>
      <c r="B367" s="797"/>
      <c r="C367" s="784"/>
      <c r="D367" s="784"/>
      <c r="E367" s="785"/>
      <c r="F367" s="812"/>
      <c r="G367" s="798"/>
      <c r="H367" s="826"/>
    </row>
    <row r="368" spans="1:8" ht="15.6">
      <c r="A368" s="820"/>
      <c r="B368" s="821"/>
      <c r="C368" s="822"/>
      <c r="D368" s="822"/>
      <c r="E368" s="823"/>
      <c r="F368" s="819"/>
      <c r="G368" s="824"/>
      <c r="H368" s="827"/>
    </row>
    <row r="369" spans="1:8" ht="18">
      <c r="A369" s="799"/>
      <c r="B369" s="800"/>
      <c r="C369" s="800"/>
      <c r="D369" s="800"/>
      <c r="E369" s="800"/>
      <c r="F369" s="801"/>
      <c r="G369" s="1050" t="s">
        <v>1758</v>
      </c>
      <c r="H369" s="775">
        <f>H360+H366</f>
        <v>27030000</v>
      </c>
    </row>
    <row r="370" spans="1:8" ht="18">
      <c r="A370" s="802"/>
      <c r="B370" s="803"/>
      <c r="C370" s="804"/>
      <c r="D370" s="804"/>
      <c r="E370" s="804"/>
      <c r="F370" s="805"/>
      <c r="G370" s="1055" t="s">
        <v>30</v>
      </c>
      <c r="H370" s="807">
        <f>ROUND(H369,-3)</f>
        <v>27030000</v>
      </c>
    </row>
    <row r="371" spans="1:8" ht="15.6">
      <c r="A371" s="49"/>
      <c r="B371" s="49"/>
      <c r="C371" s="49"/>
      <c r="D371" s="49"/>
      <c r="E371" s="49"/>
      <c r="F371" s="49"/>
      <c r="G371" s="49"/>
      <c r="H371" s="50"/>
    </row>
    <row r="372" spans="1:8" ht="18">
      <c r="A372" s="768" t="s">
        <v>1150</v>
      </c>
      <c r="B372" s="49"/>
      <c r="C372" s="49"/>
      <c r="D372" s="49"/>
      <c r="E372" s="49"/>
      <c r="F372" s="49"/>
      <c r="G372" s="49"/>
      <c r="H372" s="50"/>
    </row>
    <row r="373" spans="1:8" ht="17.399999999999999">
      <c r="A373" s="49"/>
      <c r="B373" s="965" t="s">
        <v>1800</v>
      </c>
      <c r="C373" s="49"/>
      <c r="D373" s="49"/>
      <c r="E373" s="49"/>
      <c r="F373" s="49"/>
      <c r="G373" s="49"/>
      <c r="H373" s="50"/>
    </row>
    <row r="374" spans="1:8" ht="15.6">
      <c r="A374" s="49"/>
      <c r="B374" s="49"/>
      <c r="C374" s="49"/>
      <c r="D374" s="49"/>
      <c r="E374" s="49"/>
      <c r="F374" s="49"/>
      <c r="G374" s="49"/>
      <c r="H374" s="50"/>
    </row>
    <row r="375" spans="1:8" ht="15.6">
      <c r="A375" s="51"/>
      <c r="B375" s="51"/>
      <c r="C375" s="51"/>
      <c r="D375" s="51"/>
      <c r="E375" s="51"/>
      <c r="F375" s="51"/>
      <c r="G375" s="1509" t="s">
        <v>1790</v>
      </c>
      <c r="H375" s="1509"/>
    </row>
    <row r="376" spans="1:8" ht="15.6">
      <c r="A376" s="1509" t="s">
        <v>31</v>
      </c>
      <c r="B376" s="1509"/>
      <c r="C376" s="1509" t="s">
        <v>32</v>
      </c>
      <c r="D376" s="1509"/>
      <c r="E376" s="1509"/>
      <c r="F376" s="51"/>
      <c r="G376" s="1509" t="s">
        <v>33</v>
      </c>
      <c r="H376" s="1509"/>
    </row>
    <row r="377" spans="1:8" ht="15.6">
      <c r="A377" s="51"/>
      <c r="B377" s="51"/>
      <c r="C377" s="51"/>
      <c r="D377" s="51"/>
      <c r="E377" s="51"/>
      <c r="F377" s="51"/>
      <c r="G377" s="51"/>
      <c r="H377" s="51"/>
    </row>
    <row r="378" spans="1:8" ht="15.6">
      <c r="A378" s="51"/>
      <c r="B378" s="51"/>
      <c r="C378" s="51"/>
      <c r="D378" s="51"/>
      <c r="E378" s="51"/>
      <c r="F378" s="51"/>
      <c r="G378" s="51"/>
      <c r="H378" s="51"/>
    </row>
    <row r="379" spans="1:8" ht="15.6">
      <c r="A379" s="51"/>
      <c r="B379" s="51"/>
      <c r="C379" s="51"/>
      <c r="D379" s="51"/>
      <c r="E379" s="51"/>
      <c r="F379" s="51"/>
      <c r="G379" s="51"/>
      <c r="H379" s="51"/>
    </row>
    <row r="380" spans="1:8" ht="15.6">
      <c r="A380" s="1512" t="s">
        <v>1622</v>
      </c>
      <c r="B380" s="1512"/>
      <c r="C380" s="1512" t="s">
        <v>1603</v>
      </c>
      <c r="D380" s="1512"/>
      <c r="E380" s="1512"/>
      <c r="F380" s="51"/>
      <c r="G380" s="1512" t="s">
        <v>1661</v>
      </c>
      <c r="H380" s="1512"/>
    </row>
    <row r="381" spans="1:8" ht="15.6">
      <c r="A381" s="1509" t="s">
        <v>37</v>
      </c>
      <c r="B381" s="1509"/>
      <c r="C381" s="1509" t="s">
        <v>1604</v>
      </c>
      <c r="D381" s="1509"/>
      <c r="E381" s="1509"/>
      <c r="F381" s="51"/>
      <c r="G381" s="1509" t="s">
        <v>39</v>
      </c>
      <c r="H381" s="1509"/>
    </row>
    <row r="382" spans="1:8" ht="15.6">
      <c r="A382" s="602"/>
      <c r="B382" s="602"/>
      <c r="C382" s="602"/>
      <c r="D382" s="602"/>
      <c r="E382" s="602"/>
      <c r="F382" s="51"/>
      <c r="G382" s="602"/>
      <c r="H382" s="602"/>
    </row>
    <row r="384" spans="1:8" ht="28.8">
      <c r="A384" s="597"/>
      <c r="B384" s="597"/>
      <c r="C384" s="1513" t="s">
        <v>235</v>
      </c>
      <c r="D384" s="1513"/>
      <c r="E384" s="1513"/>
      <c r="F384" s="1513"/>
      <c r="G384" s="1513"/>
      <c r="H384" s="1513"/>
    </row>
    <row r="385" spans="1:8" ht="28.8">
      <c r="A385" s="597"/>
      <c r="B385" s="597"/>
      <c r="C385" s="1541" t="s">
        <v>1638</v>
      </c>
      <c r="D385" s="1541"/>
      <c r="E385" s="1541"/>
      <c r="F385" s="1541"/>
      <c r="G385" s="1541"/>
      <c r="H385" s="1541"/>
    </row>
    <row r="386" spans="1:8" ht="23.4">
      <c r="A386" s="830"/>
      <c r="B386" s="830"/>
      <c r="C386" s="1537" t="s">
        <v>466</v>
      </c>
      <c r="D386" s="1537"/>
      <c r="E386" s="1537"/>
      <c r="F386" s="1537"/>
      <c r="G386" s="1537"/>
      <c r="H386" s="1537"/>
    </row>
    <row r="387" spans="1:8" ht="15.6">
      <c r="A387" s="769"/>
      <c r="B387" s="769"/>
      <c r="C387" s="769"/>
      <c r="D387" s="769"/>
      <c r="E387" s="769"/>
      <c r="F387" s="769"/>
      <c r="G387" s="769"/>
      <c r="H387" s="769"/>
    </row>
    <row r="388" spans="1:8" ht="15.6">
      <c r="A388" s="769"/>
      <c r="B388" s="769"/>
      <c r="C388" s="769"/>
      <c r="D388" s="769"/>
      <c r="E388" s="769"/>
      <c r="F388" s="769"/>
      <c r="G388" s="769"/>
      <c r="H388" s="769"/>
    </row>
    <row r="389" spans="1:8" ht="15.6">
      <c r="A389" s="1516" t="s">
        <v>3</v>
      </c>
      <c r="B389" s="1516" t="s">
        <v>4</v>
      </c>
      <c r="C389" s="1516" t="s">
        <v>5</v>
      </c>
      <c r="D389" s="1516" t="s">
        <v>6</v>
      </c>
      <c r="E389" s="1516" t="s">
        <v>7</v>
      </c>
      <c r="F389" s="770" t="s">
        <v>8</v>
      </c>
      <c r="G389" s="770" t="s">
        <v>9</v>
      </c>
      <c r="H389" s="770" t="s">
        <v>10</v>
      </c>
    </row>
    <row r="390" spans="1:8" ht="15.6">
      <c r="A390" s="1517"/>
      <c r="B390" s="1517"/>
      <c r="C390" s="1517"/>
      <c r="D390" s="1517"/>
      <c r="E390" s="1517"/>
      <c r="F390" s="771" t="s">
        <v>11</v>
      </c>
      <c r="G390" s="771" t="s">
        <v>11</v>
      </c>
      <c r="H390" s="771" t="s">
        <v>11</v>
      </c>
    </row>
    <row r="391" spans="1:8" ht="15.6">
      <c r="A391" s="770"/>
      <c r="B391" s="772"/>
      <c r="C391" s="773"/>
      <c r="D391" s="774"/>
      <c r="E391" s="774"/>
      <c r="F391" s="774"/>
      <c r="G391" s="775"/>
      <c r="H391" s="776"/>
    </row>
    <row r="392" spans="1:8" ht="15.6">
      <c r="A392" s="786" t="s">
        <v>12</v>
      </c>
      <c r="B392" s="969" t="s">
        <v>1639</v>
      </c>
      <c r="C392" s="779">
        <v>1</v>
      </c>
      <c r="D392" s="780" t="s">
        <v>21</v>
      </c>
      <c r="E392" s="780" t="s">
        <v>16</v>
      </c>
      <c r="F392" s="791">
        <v>1250000</v>
      </c>
      <c r="G392" s="791">
        <f>F392*C392</f>
        <v>1250000</v>
      </c>
      <c r="H392" s="971"/>
    </row>
    <row r="393" spans="1:8" ht="15.6">
      <c r="A393" s="786"/>
      <c r="B393" s="778" t="s">
        <v>1640</v>
      </c>
      <c r="C393" s="779"/>
      <c r="D393" s="780"/>
      <c r="E393" s="780"/>
      <c r="F393" s="780"/>
      <c r="G393" s="986"/>
      <c r="H393" s="971"/>
    </row>
    <row r="394" spans="1:8" ht="15.6">
      <c r="A394" s="786"/>
      <c r="B394" s="778" t="s">
        <v>1641</v>
      </c>
      <c r="C394" s="779"/>
      <c r="D394" s="780"/>
      <c r="E394" s="780"/>
      <c r="F394" s="791"/>
      <c r="G394" s="791"/>
      <c r="H394" s="971"/>
    </row>
    <row r="395" spans="1:8" ht="15.6">
      <c r="A395" s="786"/>
      <c r="B395" s="778" t="s">
        <v>1642</v>
      </c>
      <c r="C395" s="779"/>
      <c r="D395" s="780"/>
      <c r="E395" s="780"/>
      <c r="F395" s="780"/>
      <c r="G395" s="986"/>
      <c r="H395" s="971"/>
    </row>
    <row r="396" spans="1:8" ht="15.6">
      <c r="A396" s="786"/>
      <c r="B396" s="969"/>
      <c r="C396" s="779"/>
      <c r="D396" s="780"/>
      <c r="E396" s="780"/>
      <c r="F396" s="791"/>
      <c r="G396" s="791"/>
      <c r="H396" s="971"/>
    </row>
    <row r="397" spans="1:8" ht="15.6">
      <c r="A397" s="790"/>
      <c r="B397" s="777"/>
      <c r="C397" s="788"/>
      <c r="D397" s="780"/>
      <c r="E397" s="780"/>
      <c r="F397" s="788"/>
      <c r="G397" s="788"/>
      <c r="H397" s="789"/>
    </row>
    <row r="398" spans="1:8" ht="15.6">
      <c r="A398" s="793"/>
      <c r="B398" s="783"/>
      <c r="C398" s="794"/>
      <c r="D398" s="795"/>
      <c r="E398" s="811"/>
      <c r="F398" s="811" t="s">
        <v>25</v>
      </c>
      <c r="G398" s="813">
        <f>G392</f>
        <v>1250000</v>
      </c>
      <c r="H398" s="810"/>
    </row>
    <row r="399" spans="1:8" ht="15.6">
      <c r="A399" s="820"/>
      <c r="B399" s="821"/>
      <c r="C399" s="822"/>
      <c r="D399" s="822"/>
      <c r="E399" s="823"/>
      <c r="F399" s="819" t="s">
        <v>1151</v>
      </c>
      <c r="G399" s="964"/>
      <c r="H399" s="825"/>
    </row>
    <row r="400" spans="1:8" ht="15.6">
      <c r="A400" s="796"/>
      <c r="B400" s="797"/>
      <c r="C400" s="784"/>
      <c r="D400" s="784"/>
      <c r="E400" s="785"/>
      <c r="F400" s="812"/>
      <c r="G400" s="798"/>
      <c r="H400" s="826">
        <f>G398+G399</f>
        <v>1250000</v>
      </c>
    </row>
    <row r="401" spans="1:8" ht="15.6">
      <c r="A401" s="820"/>
      <c r="B401" s="821"/>
      <c r="C401" s="822"/>
      <c r="D401" s="822"/>
      <c r="E401" s="823"/>
      <c r="F401" s="819"/>
      <c r="G401" s="824"/>
      <c r="H401" s="827"/>
    </row>
    <row r="402" spans="1:8" ht="15.6">
      <c r="A402" s="799"/>
      <c r="B402" s="800"/>
      <c r="C402" s="800"/>
      <c r="D402" s="800"/>
      <c r="E402" s="800"/>
      <c r="F402" s="801"/>
      <c r="G402" s="828" t="s">
        <v>28</v>
      </c>
      <c r="H402" s="775">
        <f>H400</f>
        <v>1250000</v>
      </c>
    </row>
    <row r="403" spans="1:8" ht="15.6">
      <c r="A403" s="802"/>
      <c r="B403" s="803"/>
      <c r="C403" s="804"/>
      <c r="D403" s="804"/>
      <c r="E403" s="804"/>
      <c r="F403" s="805"/>
      <c r="G403" s="829" t="s">
        <v>30</v>
      </c>
      <c r="H403" s="807">
        <f>ROUND(H402,-3)</f>
        <v>1250000</v>
      </c>
    </row>
    <row r="404" spans="1:8" ht="15.6">
      <c r="A404" s="49"/>
      <c r="B404" s="49"/>
      <c r="C404" s="49"/>
      <c r="D404" s="49"/>
      <c r="E404" s="49"/>
      <c r="F404" s="49"/>
      <c r="G404" s="49"/>
      <c r="H404" s="50"/>
    </row>
    <row r="405" spans="1:8" ht="18">
      <c r="A405" s="768" t="s">
        <v>1150</v>
      </c>
      <c r="B405" s="49"/>
      <c r="C405" s="49"/>
      <c r="D405" s="49"/>
      <c r="E405" s="49"/>
      <c r="F405" s="49"/>
      <c r="G405" s="49"/>
      <c r="H405" s="50"/>
    </row>
    <row r="406" spans="1:8" ht="17.399999999999999">
      <c r="A406" s="49"/>
      <c r="B406" s="965" t="s">
        <v>1643</v>
      </c>
      <c r="C406" s="49"/>
      <c r="D406" s="49"/>
      <c r="E406" s="49"/>
      <c r="F406" s="49"/>
      <c r="G406" s="49"/>
      <c r="H406" s="50"/>
    </row>
    <row r="407" spans="1:8" ht="15.6">
      <c r="A407" s="49"/>
      <c r="B407" s="49"/>
      <c r="C407" s="49"/>
      <c r="D407" s="49"/>
      <c r="E407" s="49"/>
      <c r="F407" s="49"/>
      <c r="G407" s="49"/>
      <c r="H407" s="50"/>
    </row>
    <row r="408" spans="1:8" ht="15.6">
      <c r="A408" s="51"/>
      <c r="B408" s="51"/>
      <c r="C408" s="51"/>
      <c r="D408" s="51"/>
      <c r="E408" s="51"/>
      <c r="F408" s="51"/>
      <c r="G408" s="1509" t="s">
        <v>1637</v>
      </c>
      <c r="H408" s="1509"/>
    </row>
    <row r="409" spans="1:8" ht="15.6">
      <c r="A409" s="1509" t="s">
        <v>31</v>
      </c>
      <c r="B409" s="1509"/>
      <c r="C409" s="1509" t="s">
        <v>32</v>
      </c>
      <c r="D409" s="1509"/>
      <c r="E409" s="1509"/>
      <c r="F409" s="51"/>
      <c r="G409" s="1509" t="s">
        <v>33</v>
      </c>
      <c r="H409" s="1509"/>
    </row>
    <row r="410" spans="1:8" ht="15.6">
      <c r="A410" s="51"/>
      <c r="B410" s="51"/>
      <c r="C410" s="51"/>
      <c r="D410" s="51"/>
      <c r="E410" s="51"/>
      <c r="F410" s="51"/>
      <c r="G410" s="51"/>
      <c r="H410" s="51"/>
    </row>
    <row r="411" spans="1:8" ht="15.6">
      <c r="A411" s="51"/>
      <c r="B411" s="51"/>
      <c r="C411" s="51"/>
      <c r="D411" s="51"/>
      <c r="E411" s="51"/>
      <c r="F411" s="51"/>
      <c r="G411" s="51"/>
      <c r="H411" s="51"/>
    </row>
    <row r="412" spans="1:8" ht="15.6">
      <c r="A412" s="51"/>
      <c r="B412" s="51"/>
      <c r="C412" s="51"/>
      <c r="D412" s="51"/>
      <c r="E412" s="51"/>
      <c r="F412" s="51"/>
      <c r="G412" s="51"/>
      <c r="H412" s="51"/>
    </row>
    <row r="413" spans="1:8" ht="15.6">
      <c r="A413" s="1512" t="s">
        <v>1622</v>
      </c>
      <c r="B413" s="1512"/>
      <c r="C413" s="1512" t="s">
        <v>1603</v>
      </c>
      <c r="D413" s="1512"/>
      <c r="E413" s="1512"/>
      <c r="F413" s="51"/>
      <c r="G413" s="1512" t="s">
        <v>36</v>
      </c>
      <c r="H413" s="1512"/>
    </row>
    <row r="414" spans="1:8" ht="15.6">
      <c r="A414" s="1509" t="s">
        <v>37</v>
      </c>
      <c r="B414" s="1509"/>
      <c r="C414" s="1509" t="s">
        <v>1604</v>
      </c>
      <c r="D414" s="1509"/>
      <c r="E414" s="1509"/>
      <c r="F414" s="51"/>
      <c r="G414" s="1509" t="s">
        <v>39</v>
      </c>
      <c r="H414" s="1509"/>
    </row>
    <row r="415" spans="1:8" ht="15.6">
      <c r="A415" s="602"/>
      <c r="B415" s="602"/>
      <c r="C415" s="602"/>
      <c r="D415" s="602"/>
      <c r="E415" s="602"/>
      <c r="F415" s="51"/>
      <c r="G415" s="602"/>
      <c r="H415" s="602"/>
    </row>
    <row r="418" spans="1:8" ht="28.8">
      <c r="A418" s="597"/>
      <c r="B418" s="597"/>
      <c r="C418" s="1513" t="s">
        <v>235</v>
      </c>
      <c r="D418" s="1513"/>
      <c r="E418" s="1513"/>
      <c r="F418" s="1513"/>
      <c r="G418" s="1513"/>
      <c r="H418" s="1513"/>
    </row>
    <row r="419" spans="1:8" ht="28.8">
      <c r="A419" s="597"/>
      <c r="B419" s="597"/>
      <c r="C419" s="1541" t="s">
        <v>1420</v>
      </c>
      <c r="D419" s="1541"/>
      <c r="E419" s="1541"/>
      <c r="F419" s="1541"/>
      <c r="G419" s="1541"/>
      <c r="H419" s="1541"/>
    </row>
    <row r="420" spans="1:8" ht="23.4">
      <c r="A420" s="830"/>
      <c r="B420" s="830"/>
      <c r="C420" s="1537" t="s">
        <v>1078</v>
      </c>
      <c r="D420" s="1537"/>
      <c r="E420" s="1537"/>
      <c r="F420" s="1537"/>
      <c r="G420" s="1537"/>
      <c r="H420" s="1537"/>
    </row>
    <row r="421" spans="1:8" ht="15.6">
      <c r="A421" s="769"/>
      <c r="B421" s="769"/>
      <c r="C421" s="769"/>
      <c r="D421" s="769"/>
      <c r="E421" s="769"/>
      <c r="F421" s="769"/>
      <c r="G421" s="769"/>
      <c r="H421" s="769"/>
    </row>
    <row r="422" spans="1:8" ht="15.6">
      <c r="A422" s="769"/>
      <c r="B422" s="769"/>
      <c r="C422" s="769"/>
      <c r="D422" s="769"/>
      <c r="E422" s="769"/>
      <c r="F422" s="769"/>
      <c r="G422" s="769"/>
      <c r="H422" s="769"/>
    </row>
    <row r="423" spans="1:8" ht="15.6">
      <c r="A423" s="1516" t="s">
        <v>3</v>
      </c>
      <c r="B423" s="1516" t="s">
        <v>4</v>
      </c>
      <c r="C423" s="1516" t="s">
        <v>5</v>
      </c>
      <c r="D423" s="1516" t="s">
        <v>6</v>
      </c>
      <c r="E423" s="1516" t="s">
        <v>7</v>
      </c>
      <c r="F423" s="770" t="s">
        <v>8</v>
      </c>
      <c r="G423" s="770" t="s">
        <v>9</v>
      </c>
      <c r="H423" s="770" t="s">
        <v>10</v>
      </c>
    </row>
    <row r="424" spans="1:8" ht="15.6">
      <c r="A424" s="1517"/>
      <c r="B424" s="1517"/>
      <c r="C424" s="1517"/>
      <c r="D424" s="1517"/>
      <c r="E424" s="1517"/>
      <c r="F424" s="771" t="s">
        <v>11</v>
      </c>
      <c r="G424" s="771" t="s">
        <v>11</v>
      </c>
      <c r="H424" s="771" t="s">
        <v>11</v>
      </c>
    </row>
    <row r="425" spans="1:8" ht="15.6">
      <c r="A425" s="770" t="s">
        <v>12</v>
      </c>
      <c r="B425" s="772" t="s">
        <v>364</v>
      </c>
      <c r="C425" s="773"/>
      <c r="D425" s="774"/>
      <c r="E425" s="774"/>
      <c r="F425" s="774"/>
      <c r="G425" s="775"/>
      <c r="H425" s="776"/>
    </row>
    <row r="426" spans="1:8" ht="15.6">
      <c r="A426" s="786"/>
      <c r="B426" s="969" t="s">
        <v>1629</v>
      </c>
      <c r="C426" s="779">
        <v>1</v>
      </c>
      <c r="D426" s="780" t="s">
        <v>44</v>
      </c>
      <c r="E426" s="780" t="s">
        <v>16</v>
      </c>
      <c r="F426" s="791">
        <v>15180000</v>
      </c>
      <c r="G426" s="791">
        <f>F426*C426</f>
        <v>15180000</v>
      </c>
      <c r="H426" s="971"/>
    </row>
    <row r="427" spans="1:8" ht="15.6">
      <c r="A427" s="786"/>
      <c r="B427" s="778" t="s">
        <v>1630</v>
      </c>
      <c r="C427" s="779"/>
      <c r="D427" s="780"/>
      <c r="E427" s="780"/>
      <c r="F427" s="780"/>
      <c r="G427" s="986"/>
      <c r="H427" s="971"/>
    </row>
    <row r="428" spans="1:8" ht="15.6">
      <c r="A428" s="786"/>
      <c r="B428" s="778" t="s">
        <v>1631</v>
      </c>
      <c r="C428" s="779"/>
      <c r="D428" s="780"/>
      <c r="E428" s="780"/>
      <c r="F428" s="791"/>
      <c r="G428" s="791"/>
      <c r="H428" s="971"/>
    </row>
    <row r="429" spans="1:8" ht="15.6">
      <c r="A429" s="786"/>
      <c r="B429" s="778" t="s">
        <v>1632</v>
      </c>
      <c r="C429" s="779"/>
      <c r="D429" s="780"/>
      <c r="E429" s="780"/>
      <c r="F429" s="780"/>
      <c r="G429" s="986"/>
      <c r="H429" s="971"/>
    </row>
    <row r="430" spans="1:8" ht="15.6">
      <c r="A430" s="786"/>
      <c r="B430" s="969"/>
      <c r="C430" s="779"/>
      <c r="D430" s="780"/>
      <c r="E430" s="780"/>
      <c r="F430" s="791"/>
      <c r="G430" s="791"/>
      <c r="H430" s="971"/>
    </row>
    <row r="431" spans="1:8" ht="15.6">
      <c r="A431" s="786"/>
      <c r="B431" s="969" t="s">
        <v>1476</v>
      </c>
      <c r="C431" s="779">
        <v>1</v>
      </c>
      <c r="D431" s="780" t="s">
        <v>245</v>
      </c>
      <c r="E431" s="780" t="s">
        <v>82</v>
      </c>
      <c r="F431" s="791">
        <v>132000</v>
      </c>
      <c r="G431" s="791">
        <f>F431*C431</f>
        <v>132000</v>
      </c>
      <c r="H431" s="971"/>
    </row>
    <row r="432" spans="1:8" ht="15.6">
      <c r="A432" s="814"/>
      <c r="B432" s="806"/>
      <c r="C432" s="815"/>
      <c r="D432" s="816"/>
      <c r="E432" s="816"/>
      <c r="F432" s="817"/>
      <c r="G432" s="817"/>
      <c r="H432" s="818">
        <f>SUM(G425:G432)</f>
        <v>15312000</v>
      </c>
    </row>
    <row r="433" spans="1:8" ht="15.6">
      <c r="A433" s="786" t="s">
        <v>18</v>
      </c>
      <c r="B433" s="787" t="s">
        <v>19</v>
      </c>
      <c r="C433" s="782"/>
      <c r="D433" s="780"/>
      <c r="E433" s="780"/>
      <c r="F433" s="778"/>
      <c r="G433" s="788"/>
      <c r="H433" s="789"/>
    </row>
    <row r="434" spans="1:8" ht="15.6">
      <c r="A434" s="790"/>
      <c r="B434" s="969" t="s">
        <v>1633</v>
      </c>
      <c r="C434" s="779">
        <v>1</v>
      </c>
      <c r="D434" s="780" t="s">
        <v>44</v>
      </c>
      <c r="E434" s="780" t="s">
        <v>82</v>
      </c>
      <c r="F434" s="788">
        <v>282240</v>
      </c>
      <c r="G434" s="788">
        <f>F434*C434</f>
        <v>282240</v>
      </c>
      <c r="H434" s="789"/>
    </row>
    <row r="435" spans="1:8" ht="15.6">
      <c r="A435" s="790"/>
      <c r="B435" s="969" t="s">
        <v>1634</v>
      </c>
      <c r="C435" s="779">
        <v>1</v>
      </c>
      <c r="D435" s="780" t="s">
        <v>44</v>
      </c>
      <c r="E435" s="780" t="s">
        <v>82</v>
      </c>
      <c r="F435" s="788">
        <v>648855</v>
      </c>
      <c r="G435" s="788">
        <f>F435*C435</f>
        <v>648855</v>
      </c>
      <c r="H435" s="789"/>
    </row>
    <row r="436" spans="1:8" ht="15.6">
      <c r="A436" s="790"/>
      <c r="B436" s="969" t="s">
        <v>1635</v>
      </c>
      <c r="C436" s="779">
        <v>1</v>
      </c>
      <c r="D436" s="780" t="s">
        <v>44</v>
      </c>
      <c r="E436" s="780" t="s">
        <v>82</v>
      </c>
      <c r="F436" s="788">
        <v>648855</v>
      </c>
      <c r="G436" s="788">
        <f>F436*C436</f>
        <v>648855</v>
      </c>
      <c r="H436" s="789"/>
    </row>
    <row r="437" spans="1:8" ht="15.6">
      <c r="A437" s="790"/>
      <c r="B437" s="969" t="s">
        <v>1636</v>
      </c>
      <c r="C437" s="779">
        <v>12</v>
      </c>
      <c r="D437" s="780" t="s">
        <v>44</v>
      </c>
      <c r="E437" s="780" t="s">
        <v>51</v>
      </c>
      <c r="F437" s="788">
        <v>15000</v>
      </c>
      <c r="G437" s="788">
        <f>F437*C437</f>
        <v>180000</v>
      </c>
      <c r="H437" s="789"/>
    </row>
    <row r="438" spans="1:8" ht="15.6">
      <c r="A438" s="790"/>
      <c r="B438" s="777"/>
      <c r="C438" s="788"/>
      <c r="D438" s="780"/>
      <c r="E438" s="780"/>
      <c r="F438" s="788"/>
      <c r="G438" s="788"/>
      <c r="H438" s="789"/>
    </row>
    <row r="439" spans="1:8" ht="15.6">
      <c r="A439" s="793"/>
      <c r="B439" s="783"/>
      <c r="C439" s="794"/>
      <c r="D439" s="795"/>
      <c r="E439" s="811"/>
      <c r="F439" s="811" t="s">
        <v>25</v>
      </c>
      <c r="G439" s="813">
        <f>SUM(G434:G438)</f>
        <v>1759950</v>
      </c>
      <c r="H439" s="810"/>
    </row>
    <row r="440" spans="1:8" ht="15.6">
      <c r="A440" s="820"/>
      <c r="B440" s="821"/>
      <c r="C440" s="822"/>
      <c r="D440" s="822"/>
      <c r="E440" s="823"/>
      <c r="F440" s="819" t="s">
        <v>1151</v>
      </c>
      <c r="G440" s="964">
        <f>G439/10</f>
        <v>175995</v>
      </c>
      <c r="H440" s="825"/>
    </row>
    <row r="441" spans="1:8" ht="15.6">
      <c r="A441" s="796"/>
      <c r="B441" s="797"/>
      <c r="C441" s="784"/>
      <c r="D441" s="784"/>
      <c r="E441" s="785"/>
      <c r="F441" s="812"/>
      <c r="G441" s="798"/>
      <c r="H441" s="826">
        <f>G439+G440</f>
        <v>1935945</v>
      </c>
    </row>
    <row r="442" spans="1:8" ht="15.6">
      <c r="A442" s="820"/>
      <c r="B442" s="821"/>
      <c r="C442" s="822"/>
      <c r="D442" s="822"/>
      <c r="E442" s="823"/>
      <c r="F442" s="819"/>
      <c r="G442" s="824"/>
      <c r="H442" s="827"/>
    </row>
    <row r="443" spans="1:8" ht="15.6">
      <c r="A443" s="799"/>
      <c r="B443" s="800"/>
      <c r="C443" s="800"/>
      <c r="D443" s="800"/>
      <c r="E443" s="800"/>
      <c r="F443" s="801"/>
      <c r="G443" s="828" t="s">
        <v>28</v>
      </c>
      <c r="H443" s="775">
        <f>H441+H432</f>
        <v>17247945</v>
      </c>
    </row>
    <row r="444" spans="1:8" ht="15.6">
      <c r="A444" s="802"/>
      <c r="B444" s="803"/>
      <c r="C444" s="804"/>
      <c r="D444" s="804"/>
      <c r="E444" s="804"/>
      <c r="F444" s="805"/>
      <c r="G444" s="829" t="s">
        <v>30</v>
      </c>
      <c r="H444" s="807">
        <f>ROUND(H443,-3)</f>
        <v>17248000</v>
      </c>
    </row>
    <row r="445" spans="1:8" ht="15.6">
      <c r="A445" s="49"/>
      <c r="B445" s="49"/>
      <c r="C445" s="49"/>
      <c r="D445" s="49"/>
      <c r="E445" s="49"/>
      <c r="F445" s="49"/>
      <c r="G445" s="49"/>
      <c r="H445" s="50"/>
    </row>
    <row r="446" spans="1:8" ht="18">
      <c r="A446" s="768" t="s">
        <v>1150</v>
      </c>
      <c r="B446" s="49"/>
      <c r="C446" s="49"/>
      <c r="D446" s="49"/>
      <c r="E446" s="49"/>
      <c r="F446" s="49"/>
      <c r="G446" s="49"/>
      <c r="H446" s="50"/>
    </row>
    <row r="447" spans="1:8" ht="17.399999999999999">
      <c r="A447" s="49"/>
      <c r="B447" s="965" t="s">
        <v>1644</v>
      </c>
      <c r="C447" s="49"/>
      <c r="D447" s="49"/>
      <c r="E447" s="49"/>
      <c r="F447" s="49"/>
      <c r="G447" s="49"/>
      <c r="H447" s="50"/>
    </row>
    <row r="448" spans="1:8" ht="15.6">
      <c r="A448" s="49"/>
      <c r="B448" s="49"/>
      <c r="C448" s="49"/>
      <c r="D448" s="49"/>
      <c r="E448" s="49"/>
      <c r="F448" s="49"/>
      <c r="G448" s="49"/>
      <c r="H448" s="50"/>
    </row>
    <row r="449" spans="1:8" ht="15.6">
      <c r="A449" s="51"/>
      <c r="B449" s="51"/>
      <c r="C449" s="51"/>
      <c r="D449" s="51"/>
      <c r="E449" s="51"/>
      <c r="F449" s="51"/>
      <c r="G449" s="1509" t="s">
        <v>1637</v>
      </c>
      <c r="H449" s="1509"/>
    </row>
    <row r="450" spans="1:8" ht="15.6">
      <c r="A450" s="1509" t="s">
        <v>31</v>
      </c>
      <c r="B450" s="1509"/>
      <c r="C450" s="1509" t="s">
        <v>32</v>
      </c>
      <c r="D450" s="1509"/>
      <c r="E450" s="1509"/>
      <c r="F450" s="51"/>
      <c r="G450" s="1509" t="s">
        <v>33</v>
      </c>
      <c r="H450" s="1509"/>
    </row>
    <row r="451" spans="1:8" ht="15.6">
      <c r="A451" s="51"/>
      <c r="B451" s="51"/>
      <c r="C451" s="51"/>
      <c r="D451" s="51"/>
      <c r="E451" s="51"/>
      <c r="F451" s="51"/>
      <c r="G451" s="51"/>
      <c r="H451" s="51"/>
    </row>
    <row r="452" spans="1:8" ht="15.6">
      <c r="A452" s="51"/>
      <c r="B452" s="51"/>
      <c r="C452" s="51"/>
      <c r="D452" s="51"/>
      <c r="E452" s="51"/>
      <c r="F452" s="51"/>
      <c r="G452" s="51"/>
      <c r="H452" s="51"/>
    </row>
    <row r="453" spans="1:8" ht="15.6">
      <c r="A453" s="51"/>
      <c r="B453" s="51"/>
      <c r="C453" s="51"/>
      <c r="D453" s="51"/>
      <c r="E453" s="51"/>
      <c r="F453" s="51"/>
      <c r="G453" s="51"/>
      <c r="H453" s="51"/>
    </row>
    <row r="454" spans="1:8" ht="15.6">
      <c r="A454" s="1512" t="s">
        <v>1622</v>
      </c>
      <c r="B454" s="1512"/>
      <c r="C454" s="1512" t="s">
        <v>1603</v>
      </c>
      <c r="D454" s="1512"/>
      <c r="E454" s="1512"/>
      <c r="F454" s="51"/>
      <c r="G454" s="1512" t="s">
        <v>36</v>
      </c>
      <c r="H454" s="1512"/>
    </row>
    <row r="455" spans="1:8" ht="15.6">
      <c r="A455" s="1509" t="s">
        <v>37</v>
      </c>
      <c r="B455" s="1509"/>
      <c r="C455" s="1509" t="s">
        <v>1604</v>
      </c>
      <c r="D455" s="1509"/>
      <c r="E455" s="1509"/>
      <c r="F455" s="51"/>
      <c r="G455" s="1509" t="s">
        <v>39</v>
      </c>
      <c r="H455" s="1509"/>
    </row>
    <row r="456" spans="1:8" ht="15.6">
      <c r="A456" s="602"/>
      <c r="B456" s="602"/>
      <c r="C456" s="602"/>
      <c r="D456" s="602"/>
      <c r="E456" s="602"/>
      <c r="F456" s="51"/>
      <c r="G456" s="602"/>
      <c r="H456" s="602"/>
    </row>
    <row r="457" spans="1:8" ht="15.6">
      <c r="A457" s="602"/>
      <c r="B457" s="602"/>
      <c r="C457" s="602"/>
      <c r="D457" s="602"/>
      <c r="E457" s="602"/>
      <c r="F457" s="51"/>
      <c r="G457" s="602"/>
      <c r="H457" s="602"/>
    </row>
    <row r="459" spans="1:8" ht="28.8">
      <c r="A459" s="597"/>
      <c r="B459" s="597"/>
      <c r="C459" s="1513" t="s">
        <v>235</v>
      </c>
      <c r="D459" s="1513"/>
      <c r="E459" s="1513"/>
      <c r="F459" s="1513"/>
      <c r="G459" s="1513"/>
      <c r="H459" s="1513"/>
    </row>
    <row r="460" spans="1:8" ht="28.8">
      <c r="A460" s="597"/>
      <c r="B460" s="597"/>
      <c r="C460" s="1541" t="s">
        <v>310</v>
      </c>
      <c r="D460" s="1541"/>
      <c r="E460" s="1541"/>
      <c r="F460" s="1541"/>
      <c r="G460" s="1541"/>
      <c r="H460" s="1541"/>
    </row>
    <row r="461" spans="1:8" ht="23.4">
      <c r="A461" s="830"/>
      <c r="B461" s="830"/>
      <c r="C461" s="1537" t="s">
        <v>1470</v>
      </c>
      <c r="D461" s="1537"/>
      <c r="E461" s="1537"/>
      <c r="F461" s="1537"/>
      <c r="G461" s="1537"/>
      <c r="H461" s="1537"/>
    </row>
    <row r="462" spans="1:8" ht="15.6">
      <c r="A462" s="769"/>
      <c r="B462" s="769"/>
      <c r="C462" s="769"/>
      <c r="D462" s="769"/>
      <c r="E462" s="769"/>
      <c r="F462" s="769"/>
      <c r="G462" s="769"/>
      <c r="H462" s="769"/>
    </row>
    <row r="463" spans="1:8" ht="15.6">
      <c r="A463" s="769"/>
      <c r="B463" s="769"/>
      <c r="C463" s="769"/>
      <c r="D463" s="769"/>
      <c r="E463" s="769"/>
      <c r="F463" s="769"/>
      <c r="G463" s="769"/>
      <c r="H463" s="769"/>
    </row>
    <row r="464" spans="1:8" ht="15.6">
      <c r="A464" s="1516" t="s">
        <v>3</v>
      </c>
      <c r="B464" s="1516" t="s">
        <v>4</v>
      </c>
      <c r="C464" s="1516" t="s">
        <v>5</v>
      </c>
      <c r="D464" s="1516" t="s">
        <v>6</v>
      </c>
      <c r="E464" s="1516" t="s">
        <v>7</v>
      </c>
      <c r="F464" s="770" t="s">
        <v>8</v>
      </c>
      <c r="G464" s="770" t="s">
        <v>9</v>
      </c>
      <c r="H464" s="770" t="s">
        <v>10</v>
      </c>
    </row>
    <row r="465" spans="1:8" ht="15.6">
      <c r="A465" s="1517"/>
      <c r="B465" s="1517"/>
      <c r="C465" s="1517"/>
      <c r="D465" s="1517"/>
      <c r="E465" s="1517"/>
      <c r="F465" s="771" t="s">
        <v>11</v>
      </c>
      <c r="G465" s="771" t="s">
        <v>11</v>
      </c>
      <c r="H465" s="771" t="s">
        <v>11</v>
      </c>
    </row>
    <row r="466" spans="1:8" ht="15.6">
      <c r="A466" s="770" t="s">
        <v>12</v>
      </c>
      <c r="B466" s="772" t="s">
        <v>364</v>
      </c>
      <c r="C466" s="773"/>
      <c r="D466" s="774"/>
      <c r="E466" s="774"/>
      <c r="F466" s="774"/>
      <c r="G466" s="775"/>
      <c r="H466" s="776"/>
    </row>
    <row r="467" spans="1:8" ht="15.6">
      <c r="A467" s="786"/>
      <c r="B467" s="969" t="s">
        <v>1541</v>
      </c>
      <c r="C467" s="779">
        <v>6</v>
      </c>
      <c r="D467" s="780" t="s">
        <v>132</v>
      </c>
      <c r="E467" s="780" t="s">
        <v>197</v>
      </c>
      <c r="F467" s="791" t="s">
        <v>126</v>
      </c>
      <c r="G467" s="791" t="s">
        <v>126</v>
      </c>
      <c r="H467" s="971"/>
    </row>
    <row r="468" spans="1:8" ht="15.6">
      <c r="A468" s="786"/>
      <c r="B468" s="969" t="s">
        <v>1542</v>
      </c>
      <c r="C468" s="779">
        <v>3</v>
      </c>
      <c r="D468" s="780" t="s">
        <v>132</v>
      </c>
      <c r="E468" s="780" t="s">
        <v>197</v>
      </c>
      <c r="F468" s="780" t="s">
        <v>126</v>
      </c>
      <c r="G468" s="986" t="s">
        <v>126</v>
      </c>
      <c r="H468" s="971"/>
    </row>
    <row r="469" spans="1:8" ht="15.6">
      <c r="A469" s="786"/>
      <c r="B469" s="969" t="s">
        <v>1543</v>
      </c>
      <c r="C469" s="779">
        <v>2</v>
      </c>
      <c r="D469" s="780" t="s">
        <v>44</v>
      </c>
      <c r="E469" s="780" t="s">
        <v>197</v>
      </c>
      <c r="F469" s="791" t="s">
        <v>126</v>
      </c>
      <c r="G469" s="791" t="s">
        <v>126</v>
      </c>
      <c r="H469" s="971"/>
    </row>
    <row r="470" spans="1:8" ht="15.6">
      <c r="A470" s="786"/>
      <c r="B470" s="969" t="s">
        <v>1544</v>
      </c>
      <c r="C470" s="779">
        <v>1</v>
      </c>
      <c r="D470" s="780" t="s">
        <v>44</v>
      </c>
      <c r="E470" s="780" t="s">
        <v>197</v>
      </c>
      <c r="F470" s="780" t="s">
        <v>126</v>
      </c>
      <c r="G470" s="986" t="s">
        <v>126</v>
      </c>
      <c r="H470" s="971"/>
    </row>
    <row r="471" spans="1:8" ht="15.6">
      <c r="A471" s="786"/>
      <c r="B471" s="969" t="s">
        <v>1545</v>
      </c>
      <c r="C471" s="779">
        <v>2</v>
      </c>
      <c r="D471" s="780" t="s">
        <v>44</v>
      </c>
      <c r="E471" s="780" t="s">
        <v>197</v>
      </c>
      <c r="F471" s="791" t="s">
        <v>126</v>
      </c>
      <c r="G471" s="791" t="s">
        <v>126</v>
      </c>
      <c r="H471" s="971"/>
    </row>
    <row r="472" spans="1:8" ht="15.6">
      <c r="A472" s="786"/>
      <c r="B472" s="969" t="s">
        <v>1546</v>
      </c>
      <c r="C472" s="779">
        <v>1</v>
      </c>
      <c r="D472" s="780" t="s">
        <v>44</v>
      </c>
      <c r="E472" s="780" t="s">
        <v>197</v>
      </c>
      <c r="F472" s="791" t="s">
        <v>126</v>
      </c>
      <c r="G472" s="791" t="s">
        <v>126</v>
      </c>
      <c r="H472" s="971"/>
    </row>
    <row r="473" spans="1:8" ht="15.6">
      <c r="A473" s="786"/>
      <c r="B473" s="969" t="s">
        <v>1547</v>
      </c>
      <c r="C473" s="779">
        <v>3</v>
      </c>
      <c r="D473" s="780" t="s">
        <v>44</v>
      </c>
      <c r="E473" s="780" t="s">
        <v>16</v>
      </c>
      <c r="F473" s="788">
        <v>75000</v>
      </c>
      <c r="G473" s="788">
        <f>F473*C473</f>
        <v>225000</v>
      </c>
      <c r="H473" s="971"/>
    </row>
    <row r="474" spans="1:8" ht="15.6">
      <c r="A474" s="786"/>
      <c r="B474" s="969" t="s">
        <v>1548</v>
      </c>
      <c r="C474" s="779">
        <v>1</v>
      </c>
      <c r="D474" s="780" t="s">
        <v>44</v>
      </c>
      <c r="E474" s="780" t="s">
        <v>51</v>
      </c>
      <c r="F474" s="788">
        <v>150000</v>
      </c>
      <c r="G474" s="788">
        <f>F474*C474</f>
        <v>150000</v>
      </c>
      <c r="H474" s="971"/>
    </row>
    <row r="475" spans="1:8" ht="15.6">
      <c r="A475" s="814"/>
      <c r="B475" s="806"/>
      <c r="C475" s="815"/>
      <c r="D475" s="816"/>
      <c r="E475" s="816"/>
      <c r="F475" s="817"/>
      <c r="G475" s="817"/>
      <c r="H475" s="818">
        <f>SUM(G466:G475)</f>
        <v>375000</v>
      </c>
    </row>
    <row r="476" spans="1:8" ht="15.6">
      <c r="A476" s="786" t="s">
        <v>18</v>
      </c>
      <c r="B476" s="787" t="s">
        <v>19</v>
      </c>
      <c r="C476" s="782"/>
      <c r="D476" s="780"/>
      <c r="E476" s="780"/>
      <c r="F476" s="778"/>
      <c r="G476" s="788"/>
      <c r="H476" s="789"/>
    </row>
    <row r="477" spans="1:8" ht="15.6">
      <c r="A477" s="790"/>
      <c r="B477" s="778" t="s">
        <v>1549</v>
      </c>
      <c r="C477" s="779"/>
      <c r="D477" s="791"/>
      <c r="E477" s="780"/>
      <c r="F477" s="789"/>
      <c r="G477" s="788"/>
      <c r="H477" s="789"/>
    </row>
    <row r="478" spans="1:8" ht="15.6">
      <c r="A478" s="790"/>
      <c r="B478" s="969" t="s">
        <v>1550</v>
      </c>
      <c r="C478" s="779">
        <v>1</v>
      </c>
      <c r="D478" s="780" t="s">
        <v>69</v>
      </c>
      <c r="E478" s="780" t="s">
        <v>51</v>
      </c>
      <c r="F478" s="788">
        <v>500000</v>
      </c>
      <c r="G478" s="788">
        <f t="shared" ref="G478:G483" si="6">F478*C478</f>
        <v>500000</v>
      </c>
      <c r="H478" s="789"/>
    </row>
    <row r="479" spans="1:8" ht="15.6">
      <c r="A479" s="790"/>
      <c r="B479" s="969" t="s">
        <v>1551</v>
      </c>
      <c r="C479" s="779">
        <v>1</v>
      </c>
      <c r="D479" s="780" t="s">
        <v>69</v>
      </c>
      <c r="E479" s="780" t="s">
        <v>51</v>
      </c>
      <c r="F479" s="788">
        <v>350000</v>
      </c>
      <c r="G479" s="788">
        <f t="shared" si="6"/>
        <v>350000</v>
      </c>
      <c r="H479" s="789"/>
    </row>
    <row r="480" spans="1:8" ht="15.6">
      <c r="A480" s="790"/>
      <c r="B480" s="969" t="s">
        <v>1552</v>
      </c>
      <c r="C480" s="779">
        <v>1</v>
      </c>
      <c r="D480" s="780" t="s">
        <v>21</v>
      </c>
      <c r="E480" s="780" t="s">
        <v>51</v>
      </c>
      <c r="F480" s="788">
        <v>300000</v>
      </c>
      <c r="G480" s="788">
        <f t="shared" si="6"/>
        <v>300000</v>
      </c>
      <c r="H480" s="789"/>
    </row>
    <row r="481" spans="1:8" ht="15.6">
      <c r="A481" s="790"/>
      <c r="B481" s="969" t="s">
        <v>1553</v>
      </c>
      <c r="C481" s="779">
        <v>1</v>
      </c>
      <c r="D481" s="780" t="s">
        <v>21</v>
      </c>
      <c r="E481" s="780" t="s">
        <v>51</v>
      </c>
      <c r="F481" s="788">
        <v>500000</v>
      </c>
      <c r="G481" s="788">
        <f t="shared" si="6"/>
        <v>500000</v>
      </c>
      <c r="H481" s="789"/>
    </row>
    <row r="482" spans="1:8" ht="15.6">
      <c r="A482" s="790"/>
      <c r="B482" s="969" t="s">
        <v>1554</v>
      </c>
      <c r="C482" s="779">
        <v>2</v>
      </c>
      <c r="D482" s="780" t="s">
        <v>21</v>
      </c>
      <c r="E482" s="780" t="s">
        <v>51</v>
      </c>
      <c r="F482" s="788">
        <v>1500000</v>
      </c>
      <c r="G482" s="788">
        <f t="shared" si="6"/>
        <v>3000000</v>
      </c>
      <c r="H482" s="789"/>
    </row>
    <row r="483" spans="1:8" ht="15.6">
      <c r="A483" s="790"/>
      <c r="B483" s="969" t="s">
        <v>1555</v>
      </c>
      <c r="C483" s="779">
        <v>1</v>
      </c>
      <c r="D483" s="780" t="s">
        <v>21</v>
      </c>
      <c r="E483" s="780" t="s">
        <v>51</v>
      </c>
      <c r="F483" s="788">
        <v>1950000</v>
      </c>
      <c r="G483" s="788">
        <f t="shared" si="6"/>
        <v>1950000</v>
      </c>
      <c r="H483" s="789"/>
    </row>
    <row r="484" spans="1:8" ht="15.6">
      <c r="A484" s="790"/>
      <c r="B484" s="969"/>
      <c r="C484" s="779"/>
      <c r="D484" s="780"/>
      <c r="E484" s="780"/>
      <c r="F484" s="788"/>
      <c r="G484" s="788"/>
      <c r="H484" s="789"/>
    </row>
    <row r="485" spans="1:8" ht="15.6">
      <c r="A485" s="790"/>
      <c r="B485" s="778" t="s">
        <v>1626</v>
      </c>
      <c r="C485" s="779"/>
      <c r="D485" s="780"/>
      <c r="E485" s="780"/>
      <c r="F485" s="788"/>
      <c r="G485" s="788"/>
      <c r="H485" s="789"/>
    </row>
    <row r="486" spans="1:8" ht="15.6">
      <c r="A486" s="790"/>
      <c r="B486" s="969" t="s">
        <v>1621</v>
      </c>
      <c r="C486" s="779">
        <v>198</v>
      </c>
      <c r="D486" s="780" t="s">
        <v>81</v>
      </c>
      <c r="E486" s="780" t="s">
        <v>82</v>
      </c>
      <c r="F486" s="788">
        <v>4786.5</v>
      </c>
      <c r="G486" s="788">
        <f>F486*C486</f>
        <v>947727</v>
      </c>
      <c r="H486" s="789"/>
    </row>
    <row r="487" spans="1:8" ht="15.6">
      <c r="A487" s="790"/>
      <c r="B487" s="969" t="s">
        <v>1558</v>
      </c>
      <c r="C487" s="779">
        <v>570</v>
      </c>
      <c r="D487" s="780" t="s">
        <v>84</v>
      </c>
      <c r="E487" s="780" t="s">
        <v>82</v>
      </c>
      <c r="F487" s="788">
        <v>3200.16</v>
      </c>
      <c r="G487" s="788">
        <f>F487*C487</f>
        <v>1824091.2</v>
      </c>
      <c r="H487" s="789"/>
    </row>
    <row r="488" spans="1:8" ht="15.6">
      <c r="A488" s="790"/>
      <c r="B488" s="969" t="s">
        <v>1559</v>
      </c>
      <c r="C488" s="779">
        <v>396</v>
      </c>
      <c r="D488" s="780" t="s">
        <v>84</v>
      </c>
      <c r="E488" s="780" t="s">
        <v>82</v>
      </c>
      <c r="F488" s="788">
        <v>3200.16</v>
      </c>
      <c r="G488" s="788">
        <f>F488*C488</f>
        <v>1267263.3599999999</v>
      </c>
      <c r="H488" s="789"/>
    </row>
    <row r="489" spans="1:8" ht="15.6">
      <c r="A489" s="790"/>
      <c r="B489" s="969" t="s">
        <v>1627</v>
      </c>
      <c r="C489" s="997">
        <v>27.72</v>
      </c>
      <c r="D489" s="780" t="s">
        <v>81</v>
      </c>
      <c r="E489" s="780" t="s">
        <v>1649</v>
      </c>
      <c r="F489" s="788">
        <v>40897.449999999997</v>
      </c>
      <c r="G489" s="788">
        <f>F489*C489</f>
        <v>1133677.3139999998</v>
      </c>
      <c r="H489" s="789"/>
    </row>
    <row r="490" spans="1:8" ht="15.6">
      <c r="A490" s="790"/>
      <c r="B490" s="969"/>
      <c r="C490" s="779"/>
      <c r="D490" s="780"/>
      <c r="E490" s="780"/>
      <c r="F490" s="788"/>
      <c r="G490" s="788"/>
      <c r="H490" s="789"/>
    </row>
    <row r="491" spans="1:8" ht="15.6">
      <c r="A491" s="790"/>
      <c r="B491" s="778" t="s">
        <v>1628</v>
      </c>
      <c r="C491" s="779">
        <v>1</v>
      </c>
      <c r="D491" s="780" t="s">
        <v>69</v>
      </c>
      <c r="E491" s="780" t="s">
        <v>51</v>
      </c>
      <c r="F491" s="788">
        <v>300000</v>
      </c>
      <c r="G491" s="788">
        <f>F491*C491</f>
        <v>300000</v>
      </c>
      <c r="H491" s="789"/>
    </row>
    <row r="492" spans="1:8" ht="15.6">
      <c r="A492" s="790"/>
      <c r="B492" s="777"/>
      <c r="C492" s="788"/>
      <c r="D492" s="780"/>
      <c r="E492" s="780"/>
      <c r="F492" s="788"/>
      <c r="G492" s="788"/>
      <c r="H492" s="789"/>
    </row>
    <row r="493" spans="1:8" ht="15.6">
      <c r="A493" s="793"/>
      <c r="B493" s="783"/>
      <c r="C493" s="794"/>
      <c r="D493" s="795"/>
      <c r="E493" s="811"/>
      <c r="F493" s="811" t="s">
        <v>25</v>
      </c>
      <c r="G493" s="813">
        <f>SUM(G477:G492)</f>
        <v>12072758.873999998</v>
      </c>
      <c r="H493" s="810"/>
    </row>
    <row r="494" spans="1:8" ht="15.6">
      <c r="A494" s="820"/>
      <c r="B494" s="821"/>
      <c r="C494" s="822"/>
      <c r="D494" s="822"/>
      <c r="E494" s="823"/>
      <c r="F494" s="819" t="s">
        <v>1151</v>
      </c>
      <c r="G494" s="964">
        <f>G493/10</f>
        <v>1207275.8873999999</v>
      </c>
      <c r="H494" s="825"/>
    </row>
    <row r="495" spans="1:8" ht="15.6">
      <c r="A495" s="796"/>
      <c r="B495" s="797"/>
      <c r="C495" s="784"/>
      <c r="D495" s="784"/>
      <c r="E495" s="785"/>
      <c r="F495" s="812"/>
      <c r="G495" s="798"/>
      <c r="H495" s="826">
        <f>G493+G494</f>
        <v>13280034.761399997</v>
      </c>
    </row>
    <row r="496" spans="1:8" ht="15.6">
      <c r="A496" s="820"/>
      <c r="B496" s="821"/>
      <c r="C496" s="822"/>
      <c r="D496" s="822"/>
      <c r="E496" s="823"/>
      <c r="F496" s="819"/>
      <c r="G496" s="824"/>
      <c r="H496" s="827"/>
    </row>
    <row r="497" spans="1:11" ht="15.6">
      <c r="A497" s="799"/>
      <c r="B497" s="800"/>
      <c r="C497" s="800"/>
      <c r="D497" s="800"/>
      <c r="E497" s="800"/>
      <c r="F497" s="801"/>
      <c r="G497" s="828" t="s">
        <v>28</v>
      </c>
      <c r="H497" s="775">
        <f>H495+H475</f>
        <v>13655034.761399997</v>
      </c>
    </row>
    <row r="498" spans="1:11" ht="15.6">
      <c r="A498" s="802"/>
      <c r="B498" s="803"/>
      <c r="C498" s="804"/>
      <c r="D498" s="804"/>
      <c r="E498" s="804"/>
      <c r="F498" s="805"/>
      <c r="G498" s="829" t="s">
        <v>30</v>
      </c>
      <c r="H498" s="807">
        <f>ROUND(H497,-3)</f>
        <v>13655000</v>
      </c>
    </row>
    <row r="499" spans="1:11" ht="15.6">
      <c r="A499" s="49"/>
      <c r="B499" s="49"/>
      <c r="C499" s="49"/>
      <c r="D499" s="49"/>
      <c r="E499" s="49"/>
      <c r="F499" s="49"/>
      <c r="G499" s="49"/>
      <c r="H499" s="50"/>
    </row>
    <row r="500" spans="1:11" ht="18">
      <c r="A500" s="768" t="s">
        <v>1150</v>
      </c>
      <c r="B500" s="49"/>
      <c r="C500" s="49"/>
      <c r="D500" s="49"/>
      <c r="E500" s="49"/>
      <c r="F500" s="49"/>
      <c r="G500" s="49"/>
      <c r="H500" s="50"/>
    </row>
    <row r="501" spans="1:11" ht="17.399999999999999">
      <c r="A501" s="49"/>
      <c r="B501" s="965" t="s">
        <v>1650</v>
      </c>
      <c r="C501" s="49"/>
      <c r="D501" s="49"/>
      <c r="E501" s="49"/>
      <c r="F501" s="49"/>
      <c r="G501" s="49"/>
      <c r="H501" s="50"/>
    </row>
    <row r="502" spans="1:11" ht="15.6">
      <c r="A502" s="49"/>
      <c r="B502" s="49"/>
      <c r="C502" s="49"/>
      <c r="D502" s="49"/>
      <c r="E502" s="49"/>
      <c r="F502" s="49"/>
      <c r="G502" s="49"/>
      <c r="H502" s="50"/>
    </row>
    <row r="503" spans="1:11" ht="15.6">
      <c r="A503" s="51"/>
      <c r="B503" s="51"/>
      <c r="C503" s="51"/>
      <c r="D503" s="51"/>
      <c r="E503" s="51"/>
      <c r="F503" s="51"/>
      <c r="G503" s="1509" t="s">
        <v>1637</v>
      </c>
      <c r="H503" s="1509"/>
    </row>
    <row r="504" spans="1:11" ht="15.6">
      <c r="A504" s="1509" t="s">
        <v>31</v>
      </c>
      <c r="B504" s="1509"/>
      <c r="C504" s="1509" t="s">
        <v>32</v>
      </c>
      <c r="D504" s="1509"/>
      <c r="E504" s="1509"/>
      <c r="F504" s="51"/>
      <c r="G504" s="1509" t="s">
        <v>33</v>
      </c>
      <c r="H504" s="1509"/>
    </row>
    <row r="505" spans="1:11" ht="15.6">
      <c r="A505" s="51"/>
      <c r="B505" s="51"/>
      <c r="C505" s="51"/>
      <c r="D505" s="51"/>
      <c r="E505" s="51"/>
      <c r="F505" s="51"/>
      <c r="G505" s="51"/>
      <c r="H505" s="51"/>
    </row>
    <row r="506" spans="1:11" ht="15.6">
      <c r="A506" s="51"/>
      <c r="B506" s="51"/>
      <c r="C506" s="51"/>
      <c r="D506" s="51"/>
      <c r="E506" s="51"/>
      <c r="F506" s="51"/>
      <c r="G506" s="51"/>
      <c r="H506" s="51"/>
    </row>
    <row r="507" spans="1:11" ht="15.6">
      <c r="A507" s="51"/>
      <c r="B507" s="51"/>
      <c r="C507" s="51"/>
      <c r="D507" s="51"/>
      <c r="E507" s="51"/>
      <c r="F507" s="51"/>
      <c r="G507" s="51"/>
      <c r="H507" s="51"/>
    </row>
    <row r="508" spans="1:11" ht="15.6">
      <c r="A508" s="1512" t="s">
        <v>1622</v>
      </c>
      <c r="B508" s="1512"/>
      <c r="C508" s="1512" t="s">
        <v>1603</v>
      </c>
      <c r="D508" s="1512"/>
      <c r="E508" s="1512"/>
      <c r="F508" s="51"/>
      <c r="G508" s="1512" t="s">
        <v>36</v>
      </c>
      <c r="H508" s="1512"/>
    </row>
    <row r="509" spans="1:11" ht="15.6">
      <c r="A509" s="1509" t="s">
        <v>37</v>
      </c>
      <c r="B509" s="1509"/>
      <c r="C509" s="1509" t="s">
        <v>1604</v>
      </c>
      <c r="D509" s="1509"/>
      <c r="E509" s="1509"/>
      <c r="F509" s="51"/>
      <c r="G509" s="1509" t="s">
        <v>39</v>
      </c>
      <c r="H509" s="1509"/>
    </row>
    <row r="510" spans="1:11" ht="28.8">
      <c r="A510" s="597"/>
      <c r="B510" s="597"/>
      <c r="C510" s="1513" t="s">
        <v>235</v>
      </c>
      <c r="D510" s="1513"/>
      <c r="E510" s="1513"/>
      <c r="F510" s="1513"/>
      <c r="G510" s="1513"/>
      <c r="H510" s="1513"/>
      <c r="K510" s="1">
        <f>30*38*0.135</f>
        <v>153.9</v>
      </c>
    </row>
    <row r="511" spans="1:11" ht="28.8">
      <c r="A511" s="597"/>
      <c r="B511" s="597"/>
      <c r="C511" s="1541" t="s">
        <v>1593</v>
      </c>
      <c r="D511" s="1541"/>
      <c r="E511" s="1541"/>
      <c r="F511" s="1541"/>
      <c r="G511" s="1541"/>
      <c r="H511" s="1541"/>
    </row>
    <row r="512" spans="1:11" ht="23.4">
      <c r="A512" s="830"/>
      <c r="B512" s="830"/>
      <c r="C512" s="1537" t="s">
        <v>1594</v>
      </c>
      <c r="D512" s="1537"/>
      <c r="E512" s="1537"/>
      <c r="F512" s="1537"/>
      <c r="G512" s="1537"/>
      <c r="H512" s="1537"/>
    </row>
    <row r="513" spans="1:8" ht="15.6">
      <c r="A513" s="769"/>
      <c r="B513" s="769"/>
      <c r="C513" s="769"/>
      <c r="D513" s="769"/>
      <c r="E513" s="769"/>
      <c r="F513" s="769"/>
      <c r="G513" s="769"/>
      <c r="H513" s="769"/>
    </row>
    <row r="514" spans="1:8" ht="15.6">
      <c r="A514" s="769"/>
      <c r="B514" s="769"/>
      <c r="C514" s="769"/>
      <c r="D514" s="769"/>
      <c r="E514" s="769"/>
      <c r="F514" s="769"/>
      <c r="G514" s="769"/>
      <c r="H514" s="769"/>
    </row>
    <row r="515" spans="1:8" ht="15.6">
      <c r="A515" s="1516" t="s">
        <v>3</v>
      </c>
      <c r="B515" s="1516" t="s">
        <v>4</v>
      </c>
      <c r="C515" s="1516" t="s">
        <v>5</v>
      </c>
      <c r="D515" s="1516" t="s">
        <v>6</v>
      </c>
      <c r="E515" s="1516" t="s">
        <v>7</v>
      </c>
      <c r="F515" s="770" t="s">
        <v>8</v>
      </c>
      <c r="G515" s="770" t="s">
        <v>9</v>
      </c>
      <c r="H515" s="770" t="s">
        <v>10</v>
      </c>
    </row>
    <row r="516" spans="1:8" ht="15.6">
      <c r="A516" s="1517"/>
      <c r="B516" s="1517"/>
      <c r="C516" s="1517"/>
      <c r="D516" s="1517"/>
      <c r="E516" s="1517"/>
      <c r="F516" s="771" t="s">
        <v>11</v>
      </c>
      <c r="G516" s="771" t="s">
        <v>11</v>
      </c>
      <c r="H516" s="771" t="s">
        <v>11</v>
      </c>
    </row>
    <row r="517" spans="1:8" ht="15.6">
      <c r="A517" s="770" t="s">
        <v>12</v>
      </c>
      <c r="B517" s="772" t="s">
        <v>364</v>
      </c>
      <c r="C517" s="773"/>
      <c r="D517" s="774"/>
      <c r="E517" s="774"/>
      <c r="F517" s="774"/>
      <c r="G517" s="775"/>
      <c r="H517" s="776"/>
    </row>
    <row r="518" spans="1:8" ht="15.6">
      <c r="A518" s="786"/>
      <c r="B518" s="969" t="s">
        <v>1583</v>
      </c>
      <c r="C518" s="779">
        <v>1</v>
      </c>
      <c r="D518" s="780" t="s">
        <v>245</v>
      </c>
      <c r="E518" s="780" t="s">
        <v>197</v>
      </c>
      <c r="F518" s="791" t="s">
        <v>126</v>
      </c>
      <c r="G518" s="791" t="s">
        <v>126</v>
      </c>
      <c r="H518" s="971"/>
    </row>
    <row r="519" spans="1:8" ht="15.6">
      <c r="A519" s="786"/>
      <c r="B519" s="969" t="s">
        <v>1595</v>
      </c>
      <c r="C519" s="779">
        <v>8</v>
      </c>
      <c r="D519" s="780" t="s">
        <v>44</v>
      </c>
      <c r="E519" s="780" t="s">
        <v>197</v>
      </c>
      <c r="F519" s="791" t="s">
        <v>126</v>
      </c>
      <c r="G519" s="791" t="s">
        <v>126</v>
      </c>
      <c r="H519" s="971"/>
    </row>
    <row r="520" spans="1:8" ht="15.6">
      <c r="A520" s="786"/>
      <c r="B520" s="969"/>
      <c r="C520" s="779"/>
      <c r="D520" s="780"/>
      <c r="E520" s="780"/>
      <c r="F520" s="788"/>
      <c r="G520" s="788"/>
      <c r="H520" s="971"/>
    </row>
    <row r="521" spans="1:8" ht="15.6">
      <c r="A521" s="814"/>
      <c r="B521" s="806"/>
      <c r="C521" s="815"/>
      <c r="D521" s="816"/>
      <c r="E521" s="816"/>
      <c r="F521" s="817"/>
      <c r="G521" s="817"/>
      <c r="H521" s="818">
        <f>SUM(G517:G521)</f>
        <v>0</v>
      </c>
    </row>
    <row r="522" spans="1:8" ht="15.6">
      <c r="A522" s="786" t="s">
        <v>18</v>
      </c>
      <c r="B522" s="787" t="s">
        <v>19</v>
      </c>
      <c r="C522" s="782"/>
      <c r="D522" s="780"/>
      <c r="E522" s="780"/>
      <c r="F522" s="778"/>
      <c r="G522" s="788"/>
      <c r="H522" s="789"/>
    </row>
    <row r="523" spans="1:8" ht="15.6">
      <c r="A523" s="790"/>
      <c r="B523" s="969" t="s">
        <v>1596</v>
      </c>
      <c r="C523" s="779">
        <v>2</v>
      </c>
      <c r="D523" s="780" t="s">
        <v>44</v>
      </c>
      <c r="E523" s="780" t="s">
        <v>16</v>
      </c>
      <c r="F523" s="788">
        <v>366615</v>
      </c>
      <c r="G523" s="788">
        <f>F523*C523</f>
        <v>733230</v>
      </c>
      <c r="H523" s="789"/>
    </row>
    <row r="524" spans="1:8" ht="15.6">
      <c r="A524" s="790"/>
      <c r="B524" s="969" t="s">
        <v>1597</v>
      </c>
      <c r="C524" s="779">
        <v>2</v>
      </c>
      <c r="D524" s="780" t="s">
        <v>44</v>
      </c>
      <c r="E524" s="780" t="s">
        <v>16</v>
      </c>
      <c r="F524" s="788">
        <v>366615</v>
      </c>
      <c r="G524" s="788">
        <f>F524*C524</f>
        <v>733230</v>
      </c>
      <c r="H524" s="789"/>
    </row>
    <row r="525" spans="1:8" ht="15.6">
      <c r="A525" s="790"/>
      <c r="B525" s="969" t="s">
        <v>1598</v>
      </c>
      <c r="C525" s="779">
        <v>2</v>
      </c>
      <c r="D525" s="780" t="s">
        <v>44</v>
      </c>
      <c r="E525" s="780" t="s">
        <v>51</v>
      </c>
      <c r="F525" s="788">
        <v>100000</v>
      </c>
      <c r="G525" s="788">
        <f>F525*C525</f>
        <v>200000</v>
      </c>
      <c r="H525" s="789"/>
    </row>
    <row r="526" spans="1:8" ht="15.6">
      <c r="A526" s="790"/>
      <c r="B526" s="969" t="s">
        <v>1599</v>
      </c>
      <c r="C526" s="779">
        <v>2</v>
      </c>
      <c r="D526" s="780" t="s">
        <v>1600</v>
      </c>
      <c r="E526" s="780" t="s">
        <v>51</v>
      </c>
      <c r="F526" s="788">
        <v>75000</v>
      </c>
      <c r="G526" s="788">
        <f>F526*C526</f>
        <v>150000</v>
      </c>
      <c r="H526" s="789"/>
    </row>
    <row r="527" spans="1:8" ht="15.6">
      <c r="A527" s="790"/>
      <c r="B527" s="969"/>
      <c r="C527" s="779"/>
      <c r="D527" s="780"/>
      <c r="E527" s="780"/>
      <c r="F527" s="788"/>
      <c r="G527" s="788"/>
      <c r="H527" s="789"/>
    </row>
    <row r="528" spans="1:8" ht="15.6">
      <c r="A528" s="790"/>
      <c r="B528" s="777"/>
      <c r="C528" s="788"/>
      <c r="D528" s="780"/>
      <c r="E528" s="780"/>
      <c r="F528" s="788"/>
      <c r="G528" s="788"/>
      <c r="H528" s="789"/>
    </row>
    <row r="529" spans="1:12" ht="15.6">
      <c r="A529" s="793"/>
      <c r="B529" s="783"/>
      <c r="C529" s="794"/>
      <c r="D529" s="795"/>
      <c r="E529" s="811"/>
      <c r="F529" s="811" t="s">
        <v>25</v>
      </c>
      <c r="G529" s="813">
        <f>SUM(G523:G528)</f>
        <v>1816460</v>
      </c>
      <c r="H529" s="810"/>
    </row>
    <row r="530" spans="1:12" ht="15.6">
      <c r="A530" s="820"/>
      <c r="B530" s="821"/>
      <c r="C530" s="822"/>
      <c r="D530" s="822"/>
      <c r="E530" s="823"/>
      <c r="F530" s="819" t="s">
        <v>1151</v>
      </c>
      <c r="G530" s="964"/>
      <c r="H530" s="825"/>
    </row>
    <row r="531" spans="1:12" ht="15.6">
      <c r="A531" s="796"/>
      <c r="B531" s="797"/>
      <c r="C531" s="784"/>
      <c r="D531" s="784"/>
      <c r="E531" s="785"/>
      <c r="F531" s="812"/>
      <c r="G531" s="798"/>
      <c r="H531" s="826">
        <f>G529+G530</f>
        <v>1816460</v>
      </c>
    </row>
    <row r="532" spans="1:12" ht="15.6">
      <c r="A532" s="820"/>
      <c r="B532" s="821"/>
      <c r="C532" s="822"/>
      <c r="D532" s="822"/>
      <c r="E532" s="823"/>
      <c r="F532" s="819"/>
      <c r="G532" s="824"/>
      <c r="H532" s="827"/>
      <c r="L532" s="1">
        <f>3.14*150*3*3</f>
        <v>4239</v>
      </c>
    </row>
    <row r="533" spans="1:12" ht="15.6">
      <c r="A533" s="799"/>
      <c r="B533" s="800"/>
      <c r="C533" s="800"/>
      <c r="D533" s="800"/>
      <c r="E533" s="800"/>
      <c r="F533" s="801"/>
      <c r="G533" s="828" t="s">
        <v>28</v>
      </c>
      <c r="H533" s="775">
        <f>H531+H521</f>
        <v>1816460</v>
      </c>
    </row>
    <row r="534" spans="1:12" ht="15.6">
      <c r="A534" s="802"/>
      <c r="B534" s="803"/>
      <c r="C534" s="804"/>
      <c r="D534" s="804"/>
      <c r="E534" s="804"/>
      <c r="F534" s="805"/>
      <c r="G534" s="829" t="s">
        <v>30</v>
      </c>
      <c r="H534" s="807">
        <f>ROUND(H533,-3)</f>
        <v>1816000</v>
      </c>
    </row>
    <row r="535" spans="1:12" ht="15.6">
      <c r="A535" s="49"/>
      <c r="B535" s="49"/>
      <c r="C535" s="49"/>
      <c r="D535" s="49"/>
      <c r="E535" s="49"/>
      <c r="F535" s="49"/>
      <c r="G535" s="49"/>
      <c r="H535" s="50"/>
    </row>
    <row r="536" spans="1:12" ht="18">
      <c r="A536" s="768" t="s">
        <v>1150</v>
      </c>
      <c r="B536" s="49"/>
      <c r="C536" s="49"/>
      <c r="D536" s="49"/>
      <c r="E536" s="49"/>
      <c r="F536" s="49"/>
      <c r="G536" s="49"/>
      <c r="H536" s="50"/>
    </row>
    <row r="537" spans="1:12" ht="17.399999999999999">
      <c r="A537" s="49"/>
      <c r="B537" s="965" t="s">
        <v>1601</v>
      </c>
      <c r="C537" s="49"/>
      <c r="D537" s="49"/>
      <c r="E537" s="49"/>
      <c r="F537" s="49"/>
      <c r="G537" s="49"/>
      <c r="H537" s="50"/>
    </row>
    <row r="538" spans="1:12" ht="15.6">
      <c r="A538" s="49"/>
      <c r="B538" s="49"/>
      <c r="C538" s="49"/>
      <c r="D538" s="49"/>
      <c r="E538" s="49"/>
      <c r="F538" s="49"/>
      <c r="G538" s="49"/>
      <c r="H538" s="50"/>
    </row>
    <row r="539" spans="1:12" ht="15.6">
      <c r="A539" s="51"/>
      <c r="B539" s="51"/>
      <c r="C539" s="51"/>
      <c r="D539" s="51"/>
      <c r="E539" s="51"/>
      <c r="F539" s="51"/>
      <c r="G539" s="1509" t="s">
        <v>1562</v>
      </c>
      <c r="H539" s="1509"/>
    </row>
    <row r="540" spans="1:12" ht="15.6">
      <c r="A540" s="1509" t="s">
        <v>31</v>
      </c>
      <c r="B540" s="1509"/>
      <c r="C540" s="1509" t="s">
        <v>32</v>
      </c>
      <c r="D540" s="1509"/>
      <c r="E540" s="1509"/>
      <c r="F540" s="51"/>
      <c r="G540" s="1509" t="s">
        <v>33</v>
      </c>
      <c r="H540" s="1509"/>
    </row>
    <row r="541" spans="1:12" ht="15.6">
      <c r="A541" s="51"/>
      <c r="B541" s="51"/>
      <c r="C541" s="51"/>
      <c r="D541" s="51"/>
      <c r="E541" s="51"/>
      <c r="F541" s="51"/>
      <c r="G541" s="51"/>
      <c r="H541" s="51"/>
    </row>
    <row r="542" spans="1:12" ht="15.6">
      <c r="A542" s="51"/>
      <c r="B542" s="51"/>
      <c r="C542" s="51"/>
      <c r="D542" s="51"/>
      <c r="E542" s="51"/>
      <c r="F542" s="51"/>
      <c r="G542" s="51"/>
      <c r="H542" s="51"/>
    </row>
    <row r="543" spans="1:12" ht="15.6">
      <c r="A543" s="51"/>
      <c r="B543" s="51"/>
      <c r="C543" s="51"/>
      <c r="D543" s="51"/>
      <c r="E543" s="51"/>
      <c r="F543" s="51"/>
      <c r="G543" s="51"/>
      <c r="H543" s="51"/>
    </row>
    <row r="544" spans="1:12" ht="15.6">
      <c r="A544" s="1512" t="s">
        <v>34</v>
      </c>
      <c r="B544" s="1512"/>
      <c r="C544" s="1512" t="s">
        <v>35</v>
      </c>
      <c r="D544" s="1512"/>
      <c r="E544" s="1512"/>
      <c r="F544" s="51"/>
      <c r="G544" s="1512" t="s">
        <v>36</v>
      </c>
      <c r="H544" s="1512"/>
    </row>
    <row r="545" spans="1:8" ht="15.6">
      <c r="A545" s="1509" t="s">
        <v>37</v>
      </c>
      <c r="B545" s="1509"/>
      <c r="C545" s="1509" t="s">
        <v>38</v>
      </c>
      <c r="D545" s="1509"/>
      <c r="E545" s="1509"/>
      <c r="F545" s="51"/>
      <c r="G545" s="1509" t="s">
        <v>39</v>
      </c>
      <c r="H545" s="1509"/>
    </row>
    <row r="546" spans="1:8" ht="15.6">
      <c r="A546" s="602"/>
      <c r="B546" s="602"/>
      <c r="C546" s="602"/>
      <c r="D546" s="602"/>
      <c r="E546" s="602"/>
      <c r="F546" s="51"/>
      <c r="G546" s="602"/>
      <c r="H546" s="602"/>
    </row>
    <row r="547" spans="1:8" ht="28.8">
      <c r="A547" s="597"/>
      <c r="B547" s="597"/>
      <c r="C547" s="1513" t="s">
        <v>1654</v>
      </c>
      <c r="D547" s="1513"/>
      <c r="E547" s="1513"/>
      <c r="F547" s="1513"/>
      <c r="G547" s="1513"/>
      <c r="H547" s="1513"/>
    </row>
    <row r="548" spans="1:8" ht="28.8">
      <c r="A548" s="597"/>
      <c r="B548" s="597"/>
      <c r="C548" s="1541" t="s">
        <v>1576</v>
      </c>
      <c r="D548" s="1541"/>
      <c r="E548" s="1541"/>
      <c r="F548" s="1541"/>
      <c r="G548" s="1541"/>
      <c r="H548" s="1541"/>
    </row>
    <row r="549" spans="1:8" ht="23.4">
      <c r="A549" s="830"/>
      <c r="B549" s="830"/>
      <c r="C549" s="1537" t="s">
        <v>311</v>
      </c>
      <c r="D549" s="1537"/>
      <c r="E549" s="1537"/>
      <c r="F549" s="1537"/>
      <c r="G549" s="1537"/>
      <c r="H549" s="1537"/>
    </row>
    <row r="550" spans="1:8" ht="15.6">
      <c r="A550" s="769"/>
      <c r="B550" s="769"/>
      <c r="C550" s="769"/>
      <c r="D550" s="769"/>
      <c r="E550" s="769"/>
      <c r="F550" s="769"/>
      <c r="G550" s="769"/>
      <c r="H550" s="769"/>
    </row>
    <row r="551" spans="1:8" ht="15.6">
      <c r="A551" s="769"/>
      <c r="B551" s="769"/>
      <c r="C551" s="769"/>
      <c r="D551" s="769"/>
      <c r="E551" s="769"/>
      <c r="F551" s="769"/>
      <c r="G551" s="769"/>
      <c r="H551" s="769"/>
    </row>
    <row r="552" spans="1:8" ht="15.6">
      <c r="A552" s="1516" t="s">
        <v>3</v>
      </c>
      <c r="B552" s="1516" t="s">
        <v>4</v>
      </c>
      <c r="C552" s="1516" t="s">
        <v>5</v>
      </c>
      <c r="D552" s="1516" t="s">
        <v>6</v>
      </c>
      <c r="E552" s="1516" t="s">
        <v>7</v>
      </c>
      <c r="F552" s="770" t="s">
        <v>8</v>
      </c>
      <c r="G552" s="770" t="s">
        <v>9</v>
      </c>
      <c r="H552" s="770" t="s">
        <v>10</v>
      </c>
    </row>
    <row r="553" spans="1:8" ht="15.6">
      <c r="A553" s="1517"/>
      <c r="B553" s="1517"/>
      <c r="C553" s="1517"/>
      <c r="D553" s="1517"/>
      <c r="E553" s="1517"/>
      <c r="F553" s="771" t="s">
        <v>11</v>
      </c>
      <c r="G553" s="771" t="s">
        <v>11</v>
      </c>
      <c r="H553" s="771" t="s">
        <v>11</v>
      </c>
    </row>
    <row r="554" spans="1:8" ht="15.6">
      <c r="A554" s="770" t="s">
        <v>12</v>
      </c>
      <c r="B554" s="772" t="s">
        <v>364</v>
      </c>
      <c r="C554" s="773"/>
      <c r="D554" s="774"/>
      <c r="E554" s="774"/>
      <c r="F554" s="774"/>
      <c r="G554" s="775"/>
      <c r="H554" s="776"/>
    </row>
    <row r="555" spans="1:8" ht="15.6">
      <c r="A555" s="786"/>
      <c r="B555" s="969" t="s">
        <v>1577</v>
      </c>
      <c r="C555" s="779">
        <v>1</v>
      </c>
      <c r="D555" s="780" t="s">
        <v>44</v>
      </c>
      <c r="E555" s="780" t="s">
        <v>16</v>
      </c>
      <c r="F555" s="791">
        <v>2500000</v>
      </c>
      <c r="G555" s="791">
        <f>C555*F555</f>
        <v>2500000</v>
      </c>
      <c r="H555" s="971"/>
    </row>
    <row r="556" spans="1:8" ht="15.6">
      <c r="A556" s="786"/>
      <c r="B556" s="778" t="s">
        <v>1578</v>
      </c>
      <c r="C556" s="779"/>
      <c r="D556" s="780"/>
      <c r="E556" s="780"/>
      <c r="F556" s="791"/>
      <c r="G556" s="791"/>
      <c r="H556" s="971"/>
    </row>
    <row r="557" spans="1:8" ht="15.6">
      <c r="A557" s="786"/>
      <c r="B557" s="969" t="s">
        <v>1579</v>
      </c>
      <c r="C557" s="779">
        <v>1</v>
      </c>
      <c r="D557" s="780" t="s">
        <v>44</v>
      </c>
      <c r="E557" s="780" t="s">
        <v>16</v>
      </c>
      <c r="F557" s="791">
        <v>550000</v>
      </c>
      <c r="G557" s="791">
        <f>C557*F557</f>
        <v>550000</v>
      </c>
      <c r="H557" s="971"/>
    </row>
    <row r="558" spans="1:8" ht="15.6">
      <c r="A558" s="786"/>
      <c r="B558" s="778" t="s">
        <v>1580</v>
      </c>
      <c r="C558" s="779"/>
      <c r="D558" s="780"/>
      <c r="E558" s="780"/>
      <c r="F558" s="780"/>
      <c r="G558" s="986"/>
      <c r="H558" s="971"/>
    </row>
    <row r="559" spans="1:8" ht="15.6">
      <c r="A559" s="786"/>
      <c r="B559" s="969" t="s">
        <v>1581</v>
      </c>
      <c r="C559" s="779">
        <v>1</v>
      </c>
      <c r="D559" s="780" t="s">
        <v>44</v>
      </c>
      <c r="E559" s="780" t="s">
        <v>16</v>
      </c>
      <c r="F559" s="791">
        <v>3500000</v>
      </c>
      <c r="G559" s="791">
        <f>C559*F559</f>
        <v>3500000</v>
      </c>
      <c r="H559" s="971"/>
    </row>
    <row r="560" spans="1:8" ht="15.6">
      <c r="A560" s="786"/>
      <c r="B560" s="969" t="s">
        <v>1582</v>
      </c>
      <c r="C560" s="779">
        <v>24</v>
      </c>
      <c r="D560" s="780" t="s">
        <v>44</v>
      </c>
      <c r="E560" s="780" t="s">
        <v>82</v>
      </c>
      <c r="F560" s="791">
        <v>5868</v>
      </c>
      <c r="G560" s="791">
        <f>C560*F560</f>
        <v>140832</v>
      </c>
      <c r="H560" s="971"/>
    </row>
    <row r="561" spans="1:8" ht="15.6">
      <c r="A561" s="786"/>
      <c r="B561" s="969" t="s">
        <v>1583</v>
      </c>
      <c r="C561" s="779">
        <v>2</v>
      </c>
      <c r="D561" s="780" t="s">
        <v>245</v>
      </c>
      <c r="E561" s="780" t="s">
        <v>82</v>
      </c>
      <c r="F561" s="791">
        <v>132000</v>
      </c>
      <c r="G561" s="791">
        <f>C561*F561</f>
        <v>264000</v>
      </c>
      <c r="H561" s="971"/>
    </row>
    <row r="562" spans="1:8" ht="15.6">
      <c r="A562" s="786"/>
      <c r="B562" s="969" t="s">
        <v>1584</v>
      </c>
      <c r="C562" s="779">
        <v>0.3</v>
      </c>
      <c r="D562" s="780" t="s">
        <v>245</v>
      </c>
      <c r="E562" s="780" t="s">
        <v>16</v>
      </c>
      <c r="F562" s="791">
        <v>1050000</v>
      </c>
      <c r="G562" s="791">
        <f>C562*F562</f>
        <v>315000</v>
      </c>
      <c r="H562" s="971"/>
    </row>
    <row r="563" spans="1:8" ht="15.6">
      <c r="A563" s="786"/>
      <c r="B563" s="969" t="s">
        <v>1585</v>
      </c>
      <c r="C563" s="779">
        <v>2</v>
      </c>
      <c r="D563" s="780" t="s">
        <v>44</v>
      </c>
      <c r="E563" s="780" t="s">
        <v>16</v>
      </c>
      <c r="F563" s="788">
        <v>650000</v>
      </c>
      <c r="G563" s="788">
        <f>F563*C563</f>
        <v>1300000</v>
      </c>
      <c r="H563" s="971"/>
    </row>
    <row r="564" spans="1:8" ht="15.6">
      <c r="A564" s="786"/>
      <c r="B564" s="969"/>
      <c r="C564" s="779"/>
      <c r="D564" s="780"/>
      <c r="E564" s="780"/>
      <c r="F564" s="788"/>
      <c r="G564" s="788"/>
      <c r="H564" s="971"/>
    </row>
    <row r="565" spans="1:8" ht="15.6">
      <c r="A565" s="814"/>
      <c r="B565" s="806"/>
      <c r="C565" s="815"/>
      <c r="D565" s="816"/>
      <c r="E565" s="816"/>
      <c r="F565" s="817"/>
      <c r="G565" s="817"/>
      <c r="H565" s="818">
        <f>SUM(G554:G565)</f>
        <v>8569832</v>
      </c>
    </row>
    <row r="566" spans="1:8" ht="15.6">
      <c r="A566" s="786" t="s">
        <v>18</v>
      </c>
      <c r="B566" s="787" t="s">
        <v>19</v>
      </c>
      <c r="C566" s="782"/>
      <c r="D566" s="780"/>
      <c r="E566" s="780"/>
      <c r="F566" s="778"/>
      <c r="G566" s="788"/>
      <c r="H566" s="789"/>
    </row>
    <row r="567" spans="1:8" ht="15.6">
      <c r="A567" s="790"/>
      <c r="B567" s="969" t="s">
        <v>1586</v>
      </c>
      <c r="C567" s="779">
        <v>5</v>
      </c>
      <c r="D567" s="780" t="s">
        <v>245</v>
      </c>
      <c r="E567" s="780" t="s">
        <v>82</v>
      </c>
      <c r="F567" s="788">
        <v>214375</v>
      </c>
      <c r="G567" s="788">
        <f t="shared" ref="G567:G574" si="7">F567*C567</f>
        <v>1071875</v>
      </c>
      <c r="H567" s="789"/>
    </row>
    <row r="568" spans="1:8" ht="15.6">
      <c r="A568" s="790"/>
      <c r="B568" s="969" t="s">
        <v>1587</v>
      </c>
      <c r="C568" s="779">
        <v>2.5</v>
      </c>
      <c r="D568" s="780" t="s">
        <v>245</v>
      </c>
      <c r="E568" s="780" t="s">
        <v>82</v>
      </c>
      <c r="F568" s="788">
        <v>53325</v>
      </c>
      <c r="G568" s="788">
        <f t="shared" si="7"/>
        <v>133312.5</v>
      </c>
      <c r="H568" s="789"/>
    </row>
    <row r="569" spans="1:8" ht="15.6">
      <c r="A569" s="790"/>
      <c r="B569" s="969" t="s">
        <v>1588</v>
      </c>
      <c r="C569" s="779">
        <v>1</v>
      </c>
      <c r="D569" s="780" t="s">
        <v>44</v>
      </c>
      <c r="E569" s="780" t="s">
        <v>82</v>
      </c>
      <c r="F569" s="788">
        <v>1485000</v>
      </c>
      <c r="G569" s="788">
        <f t="shared" si="7"/>
        <v>1485000</v>
      </c>
      <c r="H569" s="789"/>
    </row>
    <row r="570" spans="1:8" ht="15.6">
      <c r="A570" s="790"/>
      <c r="B570" s="969" t="s">
        <v>1589</v>
      </c>
      <c r="C570" s="779">
        <v>1</v>
      </c>
      <c r="D570" s="780" t="s">
        <v>44</v>
      </c>
      <c r="E570" s="780" t="s">
        <v>82</v>
      </c>
      <c r="F570" s="788">
        <v>1485000</v>
      </c>
      <c r="G570" s="788">
        <f t="shared" si="7"/>
        <v>1485000</v>
      </c>
      <c r="H570" s="789"/>
    </row>
    <row r="571" spans="1:8" ht="15.6">
      <c r="A571" s="790"/>
      <c r="B571" s="969" t="s">
        <v>1590</v>
      </c>
      <c r="C571" s="779">
        <v>1</v>
      </c>
      <c r="D571" s="780" t="s">
        <v>21</v>
      </c>
      <c r="E571" s="780" t="s">
        <v>51</v>
      </c>
      <c r="F571" s="788">
        <v>300000</v>
      </c>
      <c r="G571" s="788">
        <f t="shared" si="7"/>
        <v>300000</v>
      </c>
      <c r="H571" s="789"/>
    </row>
    <row r="572" spans="1:8" ht="15.6">
      <c r="A572" s="790"/>
      <c r="B572" s="969" t="s">
        <v>1591</v>
      </c>
      <c r="C572" s="779">
        <v>1</v>
      </c>
      <c r="D572" s="780" t="s">
        <v>44</v>
      </c>
      <c r="E572" s="780" t="s">
        <v>82</v>
      </c>
      <c r="F572" s="788">
        <v>683437.5</v>
      </c>
      <c r="G572" s="788">
        <f t="shared" si="7"/>
        <v>683437.5</v>
      </c>
      <c r="H572" s="789"/>
    </row>
    <row r="573" spans="1:8" ht="15.6">
      <c r="A573" s="790"/>
      <c r="B573" s="969" t="s">
        <v>1602</v>
      </c>
      <c r="C573" s="779">
        <v>1</v>
      </c>
      <c r="D573" s="780" t="s">
        <v>44</v>
      </c>
      <c r="E573" s="780" t="s">
        <v>51</v>
      </c>
      <c r="F573" s="788">
        <v>750000</v>
      </c>
      <c r="G573" s="788">
        <f t="shared" si="7"/>
        <v>750000</v>
      </c>
      <c r="H573" s="789"/>
    </row>
    <row r="574" spans="1:8" ht="15.6">
      <c r="A574" s="790"/>
      <c r="B574" s="969" t="s">
        <v>1592</v>
      </c>
      <c r="C574" s="779">
        <v>1</v>
      </c>
      <c r="D574" s="780" t="s">
        <v>44</v>
      </c>
      <c r="E574" s="780" t="s">
        <v>51</v>
      </c>
      <c r="F574" s="788">
        <v>500000</v>
      </c>
      <c r="G574" s="788">
        <f t="shared" si="7"/>
        <v>500000</v>
      </c>
      <c r="H574" s="789"/>
    </row>
    <row r="575" spans="1:8" ht="15.6">
      <c r="A575" s="790"/>
      <c r="B575" s="969"/>
      <c r="C575" s="779"/>
      <c r="D575" s="780"/>
      <c r="E575" s="780"/>
      <c r="F575" s="788"/>
      <c r="G575" s="788"/>
      <c r="H575" s="789"/>
    </row>
    <row r="576" spans="1:8" ht="15.6">
      <c r="A576" s="790"/>
      <c r="B576" s="777"/>
      <c r="C576" s="788"/>
      <c r="D576" s="780"/>
      <c r="E576" s="780"/>
      <c r="F576" s="788"/>
      <c r="G576" s="788"/>
      <c r="H576" s="789"/>
    </row>
    <row r="577" spans="1:8" ht="15.6">
      <c r="A577" s="793"/>
      <c r="B577" s="783"/>
      <c r="C577" s="794"/>
      <c r="D577" s="795"/>
      <c r="E577" s="811"/>
      <c r="F577" s="811" t="s">
        <v>25</v>
      </c>
      <c r="G577" s="813">
        <f>SUM(G567:G576)</f>
        <v>6408625</v>
      </c>
      <c r="H577" s="810"/>
    </row>
    <row r="578" spans="1:8" ht="15.6">
      <c r="A578" s="820"/>
      <c r="B578" s="821"/>
      <c r="C578" s="822"/>
      <c r="D578" s="822"/>
      <c r="E578" s="823"/>
      <c r="F578" s="819" t="s">
        <v>1151</v>
      </c>
      <c r="G578" s="964">
        <f>G577/10</f>
        <v>640862.5</v>
      </c>
      <c r="H578" s="825"/>
    </row>
    <row r="579" spans="1:8" ht="15.6">
      <c r="A579" s="796"/>
      <c r="B579" s="797"/>
      <c r="C579" s="784"/>
      <c r="D579" s="784"/>
      <c r="E579" s="785"/>
      <c r="F579" s="812"/>
      <c r="G579" s="798"/>
      <c r="H579" s="826">
        <f>G577+G578</f>
        <v>7049487.5</v>
      </c>
    </row>
    <row r="580" spans="1:8" ht="15.6">
      <c r="A580" s="820"/>
      <c r="B580" s="821"/>
      <c r="C580" s="822"/>
      <c r="D580" s="822"/>
      <c r="E580" s="823"/>
      <c r="F580" s="819"/>
      <c r="G580" s="824"/>
      <c r="H580" s="827"/>
    </row>
    <row r="581" spans="1:8" ht="15.6">
      <c r="A581" s="799"/>
      <c r="B581" s="800"/>
      <c r="C581" s="800"/>
      <c r="D581" s="800"/>
      <c r="E581" s="800"/>
      <c r="F581" s="801"/>
      <c r="G581" s="828" t="s">
        <v>28</v>
      </c>
      <c r="H581" s="775">
        <f>H579+H565</f>
        <v>15619319.5</v>
      </c>
    </row>
    <row r="582" spans="1:8" ht="15.6">
      <c r="A582" s="802"/>
      <c r="B582" s="803"/>
      <c r="C582" s="804"/>
      <c r="D582" s="804"/>
      <c r="E582" s="804"/>
      <c r="F582" s="805"/>
      <c r="G582" s="829" t="s">
        <v>30</v>
      </c>
      <c r="H582" s="807">
        <f>ROUND(H581,-2)</f>
        <v>15619300</v>
      </c>
    </row>
    <row r="583" spans="1:8" ht="15.6">
      <c r="A583" s="49"/>
      <c r="B583" s="49"/>
      <c r="C583" s="49"/>
      <c r="D583" s="49"/>
      <c r="E583" s="49"/>
      <c r="F583" s="49"/>
      <c r="G583" s="49"/>
      <c r="H583" s="50"/>
    </row>
    <row r="584" spans="1:8" ht="18">
      <c r="A584" s="768" t="s">
        <v>1150</v>
      </c>
      <c r="B584" s="49"/>
      <c r="C584" s="49"/>
      <c r="D584" s="49"/>
      <c r="E584" s="49"/>
      <c r="F584" s="49"/>
      <c r="G584" s="49"/>
      <c r="H584" s="50"/>
    </row>
    <row r="585" spans="1:8" ht="17.399999999999999">
      <c r="A585" s="49"/>
      <c r="B585" s="965" t="s">
        <v>1746</v>
      </c>
      <c r="C585" s="49"/>
      <c r="D585" s="49"/>
      <c r="E585" s="49"/>
      <c r="F585" s="49"/>
      <c r="G585" s="49"/>
      <c r="H585" s="50"/>
    </row>
    <row r="586" spans="1:8" ht="15.6">
      <c r="A586" s="49"/>
      <c r="B586" s="49"/>
      <c r="C586" s="49"/>
      <c r="D586" s="49"/>
      <c r="E586" s="49"/>
      <c r="F586" s="49"/>
      <c r="G586" s="49"/>
      <c r="H586" s="50"/>
    </row>
    <row r="587" spans="1:8" ht="15.6">
      <c r="A587" s="51"/>
      <c r="B587" s="51"/>
      <c r="C587" s="51"/>
      <c r="D587" s="51"/>
      <c r="E587" s="51"/>
      <c r="F587" s="51"/>
      <c r="G587" s="1509" t="s">
        <v>1747</v>
      </c>
      <c r="H587" s="1509"/>
    </row>
    <row r="588" spans="1:8" ht="15.6">
      <c r="A588" s="1509" t="s">
        <v>31</v>
      </c>
      <c r="B588" s="1509"/>
      <c r="C588" s="1509" t="s">
        <v>32</v>
      </c>
      <c r="D588" s="1509"/>
      <c r="E588" s="1509"/>
      <c r="F588" s="51"/>
      <c r="G588" s="1509" t="s">
        <v>33</v>
      </c>
      <c r="H588" s="1509"/>
    </row>
    <row r="589" spans="1:8" ht="15.6">
      <c r="A589" s="51"/>
      <c r="B589" s="51"/>
      <c r="C589" s="51"/>
      <c r="D589" s="51"/>
      <c r="E589" s="51"/>
      <c r="F589" s="51"/>
      <c r="G589" s="51"/>
      <c r="H589" s="51"/>
    </row>
    <row r="590" spans="1:8" ht="15.6">
      <c r="A590" s="51"/>
      <c r="B590" s="51"/>
      <c r="C590" s="51"/>
      <c r="D590" s="51"/>
      <c r="E590" s="51"/>
      <c r="F590" s="51"/>
      <c r="G590" s="51"/>
      <c r="H590" s="51"/>
    </row>
    <row r="591" spans="1:8" ht="15.6">
      <c r="A591" s="51"/>
      <c r="B591" s="51"/>
      <c r="C591" s="51"/>
      <c r="D591" s="51"/>
      <c r="E591" s="51"/>
      <c r="F591" s="51"/>
      <c r="G591" s="51"/>
      <c r="H591" s="51"/>
    </row>
    <row r="592" spans="1:8" ht="15.6">
      <c r="A592" s="1512" t="s">
        <v>1605</v>
      </c>
      <c r="B592" s="1512"/>
      <c r="C592" s="1512" t="s">
        <v>1603</v>
      </c>
      <c r="D592" s="1512"/>
      <c r="E592" s="1512"/>
      <c r="F592" s="51"/>
      <c r="G592" s="1512" t="s">
        <v>1661</v>
      </c>
      <c r="H592" s="1512"/>
    </row>
    <row r="593" spans="1:8" ht="15.6">
      <c r="A593" s="1509" t="s">
        <v>37</v>
      </c>
      <c r="B593" s="1509"/>
      <c r="C593" s="1509" t="s">
        <v>1604</v>
      </c>
      <c r="D593" s="1509"/>
      <c r="E593" s="1509"/>
      <c r="F593" s="51"/>
      <c r="G593" s="1509" t="s">
        <v>39</v>
      </c>
      <c r="H593" s="1509"/>
    </row>
    <row r="594" spans="1:8" ht="15.6">
      <c r="A594" s="602"/>
      <c r="B594" s="602"/>
      <c r="C594" s="602"/>
      <c r="D594" s="602"/>
      <c r="E594" s="602"/>
      <c r="F594" s="51"/>
      <c r="G594" s="602"/>
      <c r="H594" s="602"/>
    </row>
    <row r="595" spans="1:8" ht="15.6">
      <c r="A595" s="602"/>
      <c r="B595" s="602"/>
      <c r="C595" s="602"/>
      <c r="D595" s="602"/>
      <c r="E595" s="602"/>
      <c r="F595" s="51"/>
      <c r="G595" s="602"/>
      <c r="H595" s="602"/>
    </row>
    <row r="596" spans="1:8" ht="15.6">
      <c r="A596" s="602"/>
      <c r="B596" s="602"/>
      <c r="C596" s="602"/>
      <c r="D596" s="602"/>
      <c r="E596" s="602"/>
      <c r="F596" s="51"/>
      <c r="G596" s="602"/>
      <c r="H596" s="602"/>
    </row>
    <row r="597" spans="1:8" ht="15.6">
      <c r="A597" s="808"/>
      <c r="B597" s="808"/>
      <c r="C597" s="808"/>
      <c r="D597" s="808"/>
      <c r="E597" s="808"/>
      <c r="F597" s="808"/>
      <c r="G597" s="808"/>
      <c r="H597" s="808"/>
    </row>
    <row r="598" spans="1:8" ht="28.8">
      <c r="A598" s="597"/>
      <c r="B598" s="597"/>
      <c r="C598" s="1513" t="s">
        <v>235</v>
      </c>
      <c r="D598" s="1513"/>
      <c r="E598" s="1513"/>
      <c r="F598" s="1513"/>
      <c r="G598" s="1513"/>
      <c r="H598" s="1513"/>
    </row>
    <row r="599" spans="1:8" ht="28.8">
      <c r="A599" s="597"/>
      <c r="B599" s="597"/>
      <c r="C599" s="1541" t="s">
        <v>310</v>
      </c>
      <c r="D599" s="1541"/>
      <c r="E599" s="1541"/>
      <c r="F599" s="1541"/>
      <c r="G599" s="1541"/>
      <c r="H599" s="1541"/>
    </row>
    <row r="600" spans="1:8" ht="23.4">
      <c r="A600" s="830"/>
      <c r="B600" s="830"/>
      <c r="C600" s="1537" t="s">
        <v>1078</v>
      </c>
      <c r="D600" s="1537"/>
      <c r="E600" s="1537"/>
      <c r="F600" s="1537"/>
      <c r="G600" s="1537"/>
      <c r="H600" s="1537"/>
    </row>
    <row r="601" spans="1:8" ht="15.6">
      <c r="A601" s="769"/>
      <c r="B601" s="769"/>
      <c r="C601" s="769"/>
      <c r="D601" s="769"/>
      <c r="E601" s="769"/>
      <c r="F601" s="769"/>
      <c r="G601" s="769"/>
      <c r="H601" s="769"/>
    </row>
    <row r="602" spans="1:8" ht="15.6">
      <c r="A602" s="769"/>
      <c r="B602" s="769"/>
      <c r="C602" s="769"/>
      <c r="D602" s="769"/>
      <c r="E602" s="769"/>
      <c r="F602" s="769"/>
      <c r="G602" s="769"/>
      <c r="H602" s="769"/>
    </row>
    <row r="603" spans="1:8" ht="15.6">
      <c r="A603" s="1516" t="s">
        <v>3</v>
      </c>
      <c r="B603" s="1516" t="s">
        <v>4</v>
      </c>
      <c r="C603" s="1516" t="s">
        <v>5</v>
      </c>
      <c r="D603" s="1516" t="s">
        <v>6</v>
      </c>
      <c r="E603" s="1516" t="s">
        <v>7</v>
      </c>
      <c r="F603" s="770" t="s">
        <v>8</v>
      </c>
      <c r="G603" s="770" t="s">
        <v>9</v>
      </c>
      <c r="H603" s="770" t="s">
        <v>10</v>
      </c>
    </row>
    <row r="604" spans="1:8" ht="15.6">
      <c r="A604" s="1517"/>
      <c r="B604" s="1517"/>
      <c r="C604" s="1517"/>
      <c r="D604" s="1517"/>
      <c r="E604" s="1517"/>
      <c r="F604" s="771" t="s">
        <v>11</v>
      </c>
      <c r="G604" s="771" t="s">
        <v>11</v>
      </c>
      <c r="H604" s="771" t="s">
        <v>11</v>
      </c>
    </row>
    <row r="605" spans="1:8" ht="15.6">
      <c r="A605" s="770" t="s">
        <v>12</v>
      </c>
      <c r="B605" s="772" t="s">
        <v>364</v>
      </c>
      <c r="C605" s="773"/>
      <c r="D605" s="774"/>
      <c r="E605" s="774"/>
      <c r="F605" s="774"/>
      <c r="G605" s="775"/>
      <c r="H605" s="776"/>
    </row>
    <row r="606" spans="1:8" ht="15.6">
      <c r="A606" s="786"/>
      <c r="B606" s="969" t="s">
        <v>1541</v>
      </c>
      <c r="C606" s="779">
        <v>6</v>
      </c>
      <c r="D606" s="780" t="s">
        <v>132</v>
      </c>
      <c r="E606" s="780" t="s">
        <v>197</v>
      </c>
      <c r="F606" s="791" t="s">
        <v>126</v>
      </c>
      <c r="G606" s="791" t="s">
        <v>126</v>
      </c>
      <c r="H606" s="971"/>
    </row>
    <row r="607" spans="1:8" ht="15.6">
      <c r="A607" s="786"/>
      <c r="B607" s="969" t="s">
        <v>1542</v>
      </c>
      <c r="C607" s="779">
        <v>3</v>
      </c>
      <c r="D607" s="780" t="s">
        <v>132</v>
      </c>
      <c r="E607" s="780" t="s">
        <v>197</v>
      </c>
      <c r="F607" s="780" t="s">
        <v>126</v>
      </c>
      <c r="G607" s="986" t="s">
        <v>126</v>
      </c>
      <c r="H607" s="971"/>
    </row>
    <row r="608" spans="1:8" ht="15.6">
      <c r="A608" s="786"/>
      <c r="B608" s="969" t="s">
        <v>1543</v>
      </c>
      <c r="C608" s="779">
        <v>2</v>
      </c>
      <c r="D608" s="780" t="s">
        <v>44</v>
      </c>
      <c r="E608" s="780" t="s">
        <v>197</v>
      </c>
      <c r="F608" s="791" t="s">
        <v>126</v>
      </c>
      <c r="G608" s="791" t="s">
        <v>126</v>
      </c>
      <c r="H608" s="971"/>
    </row>
    <row r="609" spans="1:8" ht="15.6">
      <c r="A609" s="786"/>
      <c r="B609" s="969" t="s">
        <v>1544</v>
      </c>
      <c r="C609" s="779">
        <v>1</v>
      </c>
      <c r="D609" s="780" t="s">
        <v>44</v>
      </c>
      <c r="E609" s="780" t="s">
        <v>197</v>
      </c>
      <c r="F609" s="780" t="s">
        <v>126</v>
      </c>
      <c r="G609" s="986" t="s">
        <v>126</v>
      </c>
      <c r="H609" s="971"/>
    </row>
    <row r="610" spans="1:8" ht="15.6">
      <c r="A610" s="786"/>
      <c r="B610" s="969" t="s">
        <v>1545</v>
      </c>
      <c r="C610" s="779">
        <v>2</v>
      </c>
      <c r="D610" s="780" t="s">
        <v>44</v>
      </c>
      <c r="E610" s="780" t="s">
        <v>197</v>
      </c>
      <c r="F610" s="791" t="s">
        <v>126</v>
      </c>
      <c r="G610" s="791" t="s">
        <v>126</v>
      </c>
      <c r="H610" s="971"/>
    </row>
    <row r="611" spans="1:8" ht="15.6">
      <c r="A611" s="786"/>
      <c r="B611" s="969" t="s">
        <v>1546</v>
      </c>
      <c r="C611" s="779">
        <v>1</v>
      </c>
      <c r="D611" s="780" t="s">
        <v>44</v>
      </c>
      <c r="E611" s="780" t="s">
        <v>197</v>
      </c>
      <c r="F611" s="791" t="s">
        <v>126</v>
      </c>
      <c r="G611" s="791" t="s">
        <v>126</v>
      </c>
      <c r="H611" s="971"/>
    </row>
    <row r="612" spans="1:8" ht="15.6">
      <c r="A612" s="786"/>
      <c r="B612" s="969" t="s">
        <v>1547</v>
      </c>
      <c r="C612" s="779">
        <v>3</v>
      </c>
      <c r="D612" s="780" t="s">
        <v>44</v>
      </c>
      <c r="E612" s="780" t="s">
        <v>16</v>
      </c>
      <c r="F612" s="788">
        <v>75000</v>
      </c>
      <c r="G612" s="788">
        <f>F612*C612</f>
        <v>225000</v>
      </c>
      <c r="H612" s="971"/>
    </row>
    <row r="613" spans="1:8" ht="15.6">
      <c r="A613" s="786"/>
      <c r="B613" s="969" t="s">
        <v>1548</v>
      </c>
      <c r="C613" s="779">
        <v>1</v>
      </c>
      <c r="D613" s="780" t="s">
        <v>44</v>
      </c>
      <c r="E613" s="780" t="s">
        <v>51</v>
      </c>
      <c r="F613" s="788">
        <v>150000</v>
      </c>
      <c r="G613" s="788">
        <f>F613*C613</f>
        <v>150000</v>
      </c>
      <c r="H613" s="971"/>
    </row>
    <row r="614" spans="1:8" ht="15.6">
      <c r="A614" s="814"/>
      <c r="B614" s="806"/>
      <c r="C614" s="815"/>
      <c r="D614" s="816"/>
      <c r="E614" s="816"/>
      <c r="F614" s="817"/>
      <c r="G614" s="817"/>
      <c r="H614" s="818">
        <f>SUM(G605:G614)</f>
        <v>375000</v>
      </c>
    </row>
    <row r="615" spans="1:8" ht="15.6">
      <c r="A615" s="786" t="s">
        <v>18</v>
      </c>
      <c r="B615" s="787" t="s">
        <v>19</v>
      </c>
      <c r="C615" s="782"/>
      <c r="D615" s="780"/>
      <c r="E615" s="780"/>
      <c r="F615" s="778"/>
      <c r="G615" s="788"/>
      <c r="H615" s="789"/>
    </row>
    <row r="616" spans="1:8" ht="15.6">
      <c r="A616" s="790"/>
      <c r="B616" s="778" t="s">
        <v>1549</v>
      </c>
      <c r="C616" s="779"/>
      <c r="D616" s="791"/>
      <c r="E616" s="780"/>
      <c r="F616" s="789"/>
      <c r="G616" s="788"/>
      <c r="H616" s="789"/>
    </row>
    <row r="617" spans="1:8" ht="15.6">
      <c r="A617" s="790"/>
      <c r="B617" s="969" t="s">
        <v>1550</v>
      </c>
      <c r="C617" s="779">
        <v>1</v>
      </c>
      <c r="D617" s="780" t="s">
        <v>69</v>
      </c>
      <c r="E617" s="780" t="s">
        <v>51</v>
      </c>
      <c r="F617" s="788">
        <v>750000</v>
      </c>
      <c r="G617" s="788">
        <f t="shared" ref="G617:G622" si="8">F617*C617</f>
        <v>750000</v>
      </c>
      <c r="H617" s="789"/>
    </row>
    <row r="618" spans="1:8" ht="15.6">
      <c r="A618" s="790"/>
      <c r="B618" s="969" t="s">
        <v>1551</v>
      </c>
      <c r="C618" s="779">
        <v>1</v>
      </c>
      <c r="D618" s="780" t="s">
        <v>69</v>
      </c>
      <c r="E618" s="780" t="s">
        <v>51</v>
      </c>
      <c r="F618" s="788">
        <v>350000</v>
      </c>
      <c r="G618" s="788">
        <f t="shared" si="8"/>
        <v>350000</v>
      </c>
      <c r="H618" s="789"/>
    </row>
    <row r="619" spans="1:8" ht="15.6">
      <c r="A619" s="790"/>
      <c r="B619" s="969" t="s">
        <v>1552</v>
      </c>
      <c r="C619" s="779">
        <v>1</v>
      </c>
      <c r="D619" s="780" t="s">
        <v>21</v>
      </c>
      <c r="E619" s="780" t="s">
        <v>51</v>
      </c>
      <c r="F619" s="788">
        <v>300000</v>
      </c>
      <c r="G619" s="788">
        <f t="shared" si="8"/>
        <v>300000</v>
      </c>
      <c r="H619" s="789"/>
    </row>
    <row r="620" spans="1:8" ht="15.6">
      <c r="A620" s="790"/>
      <c r="B620" s="969" t="s">
        <v>1553</v>
      </c>
      <c r="C620" s="779">
        <v>1</v>
      </c>
      <c r="D620" s="780" t="s">
        <v>21</v>
      </c>
      <c r="E620" s="780" t="s">
        <v>51</v>
      </c>
      <c r="F620" s="788">
        <v>500000</v>
      </c>
      <c r="G620" s="788">
        <f t="shared" si="8"/>
        <v>500000</v>
      </c>
      <c r="H620" s="789"/>
    </row>
    <row r="621" spans="1:8" ht="15.6">
      <c r="A621" s="790"/>
      <c r="B621" s="969" t="s">
        <v>1554</v>
      </c>
      <c r="C621" s="779">
        <v>2</v>
      </c>
      <c r="D621" s="780" t="s">
        <v>21</v>
      </c>
      <c r="E621" s="780" t="s">
        <v>51</v>
      </c>
      <c r="F621" s="788">
        <v>1500000</v>
      </c>
      <c r="G621" s="788">
        <f t="shared" si="8"/>
        <v>3000000</v>
      </c>
      <c r="H621" s="789"/>
    </row>
    <row r="622" spans="1:8" ht="15.6">
      <c r="A622" s="790"/>
      <c r="B622" s="969" t="s">
        <v>1555</v>
      </c>
      <c r="C622" s="779">
        <v>1</v>
      </c>
      <c r="D622" s="780" t="s">
        <v>21</v>
      </c>
      <c r="E622" s="780" t="s">
        <v>51</v>
      </c>
      <c r="F622" s="788">
        <v>1950000</v>
      </c>
      <c r="G622" s="788">
        <f t="shared" si="8"/>
        <v>1950000</v>
      </c>
      <c r="H622" s="789"/>
    </row>
    <row r="623" spans="1:8" ht="15.6">
      <c r="A623" s="790"/>
      <c r="B623" s="969"/>
      <c r="C623" s="779"/>
      <c r="D623" s="780"/>
      <c r="E623" s="780"/>
      <c r="F623" s="788"/>
      <c r="G623" s="788"/>
      <c r="H623" s="789"/>
    </row>
    <row r="624" spans="1:8" ht="15.6">
      <c r="A624" s="790"/>
      <c r="B624" s="778" t="s">
        <v>1575</v>
      </c>
      <c r="C624" s="779"/>
      <c r="D624" s="780"/>
      <c r="E624" s="780"/>
      <c r="F624" s="788"/>
      <c r="G624" s="788"/>
      <c r="H624" s="789"/>
    </row>
    <row r="625" spans="1:8" ht="15.6">
      <c r="A625" s="790"/>
      <c r="B625" s="969" t="s">
        <v>1621</v>
      </c>
      <c r="C625" s="779">
        <v>570</v>
      </c>
      <c r="D625" s="780" t="s">
        <v>81</v>
      </c>
      <c r="E625" s="780" t="s">
        <v>82</v>
      </c>
      <c r="F625" s="788">
        <v>4786.5</v>
      </c>
      <c r="G625" s="788">
        <f>F625*C625</f>
        <v>2728305</v>
      </c>
      <c r="H625" s="789"/>
    </row>
    <row r="626" spans="1:8" ht="15.6">
      <c r="A626" s="790"/>
      <c r="B626" s="969" t="s">
        <v>1558</v>
      </c>
      <c r="C626" s="779">
        <v>1392</v>
      </c>
      <c r="D626" s="780" t="s">
        <v>84</v>
      </c>
      <c r="E626" s="780" t="s">
        <v>82</v>
      </c>
      <c r="F626" s="788">
        <v>3200.16</v>
      </c>
      <c r="G626" s="788">
        <f>F626*C626</f>
        <v>4454622.72</v>
      </c>
      <c r="H626" s="789"/>
    </row>
    <row r="627" spans="1:8" ht="15.6">
      <c r="A627" s="790"/>
      <c r="B627" s="969" t="s">
        <v>1559</v>
      </c>
      <c r="C627" s="779">
        <v>1140</v>
      </c>
      <c r="D627" s="780" t="s">
        <v>84</v>
      </c>
      <c r="E627" s="780" t="s">
        <v>82</v>
      </c>
      <c r="F627" s="788">
        <v>3200.16</v>
      </c>
      <c r="G627" s="788">
        <f>F627*C627</f>
        <v>3648182.4</v>
      </c>
      <c r="H627" s="789"/>
    </row>
    <row r="628" spans="1:8" ht="15.6">
      <c r="A628" s="790"/>
      <c r="B628" s="969" t="s">
        <v>1624</v>
      </c>
      <c r="C628" s="779">
        <v>136.80000000000001</v>
      </c>
      <c r="D628" s="780" t="s">
        <v>81</v>
      </c>
      <c r="E628" s="780" t="s">
        <v>87</v>
      </c>
      <c r="F628" s="788">
        <v>51729.21</v>
      </c>
      <c r="G628" s="788">
        <f>F628*C628</f>
        <v>7076555.9280000003</v>
      </c>
      <c r="H628" s="789"/>
    </row>
    <row r="629" spans="1:8" ht="15.6">
      <c r="A629" s="790"/>
      <c r="B629" s="969"/>
      <c r="C629" s="779"/>
      <c r="D629" s="780"/>
      <c r="E629" s="780"/>
      <c r="F629" s="788"/>
      <c r="G629" s="788"/>
      <c r="H629" s="789"/>
    </row>
    <row r="630" spans="1:8" ht="15.6">
      <c r="A630" s="790"/>
      <c r="B630" s="778" t="s">
        <v>1560</v>
      </c>
      <c r="C630" s="779">
        <v>162</v>
      </c>
      <c r="D630" s="780" t="s">
        <v>245</v>
      </c>
      <c r="E630" s="780" t="s">
        <v>51</v>
      </c>
      <c r="F630" s="788">
        <v>7500</v>
      </c>
      <c r="G630" s="788">
        <f>F630*C630</f>
        <v>1215000</v>
      </c>
      <c r="H630" s="789"/>
    </row>
    <row r="631" spans="1:8" ht="15.6">
      <c r="A631" s="790"/>
      <c r="B631" s="777"/>
      <c r="C631" s="788"/>
      <c r="D631" s="780"/>
      <c r="E631" s="780"/>
      <c r="F631" s="788"/>
      <c r="G631" s="788"/>
      <c r="H631" s="789"/>
    </row>
    <row r="632" spans="1:8" ht="15.6">
      <c r="A632" s="793"/>
      <c r="B632" s="783"/>
      <c r="C632" s="794"/>
      <c r="D632" s="795"/>
      <c r="E632" s="811"/>
      <c r="F632" s="811" t="s">
        <v>25</v>
      </c>
      <c r="G632" s="813">
        <f>SUM(G616:G631)</f>
        <v>25972666.047999997</v>
      </c>
      <c r="H632" s="810"/>
    </row>
    <row r="633" spans="1:8" ht="15.6">
      <c r="A633" s="820"/>
      <c r="B633" s="821"/>
      <c r="C633" s="822"/>
      <c r="D633" s="822"/>
      <c r="E633" s="823"/>
      <c r="F633" s="819" t="s">
        <v>1151</v>
      </c>
      <c r="G633" s="964">
        <f>G632/10</f>
        <v>2597266.6047999999</v>
      </c>
      <c r="H633" s="825"/>
    </row>
    <row r="634" spans="1:8" ht="15.6">
      <c r="A634" s="796"/>
      <c r="B634" s="797"/>
      <c r="C634" s="784"/>
      <c r="D634" s="784"/>
      <c r="E634" s="785"/>
      <c r="F634" s="812"/>
      <c r="G634" s="798"/>
      <c r="H634" s="826">
        <f>G632+G633</f>
        <v>28569932.652799997</v>
      </c>
    </row>
    <row r="635" spans="1:8" ht="15.6">
      <c r="A635" s="820"/>
      <c r="B635" s="821"/>
      <c r="C635" s="822"/>
      <c r="D635" s="822"/>
      <c r="E635" s="823"/>
      <c r="F635" s="819"/>
      <c r="G635" s="824"/>
      <c r="H635" s="827"/>
    </row>
    <row r="636" spans="1:8" ht="15.6">
      <c r="A636" s="799"/>
      <c r="B636" s="800"/>
      <c r="C636" s="800"/>
      <c r="D636" s="800"/>
      <c r="E636" s="800"/>
      <c r="F636" s="801"/>
      <c r="G636" s="828" t="s">
        <v>28</v>
      </c>
      <c r="H636" s="775">
        <f>H634+H614</f>
        <v>28944932.652799997</v>
      </c>
    </row>
    <row r="637" spans="1:8" ht="15.6">
      <c r="A637" s="802"/>
      <c r="B637" s="803"/>
      <c r="C637" s="804"/>
      <c r="D637" s="804"/>
      <c r="E637" s="804"/>
      <c r="F637" s="805"/>
      <c r="G637" s="829" t="s">
        <v>30</v>
      </c>
      <c r="H637" s="807">
        <f>ROUND(H636,-3)</f>
        <v>28945000</v>
      </c>
    </row>
    <row r="638" spans="1:8" ht="15.6">
      <c r="A638" s="49"/>
      <c r="B638" s="49"/>
      <c r="C638" s="49"/>
      <c r="D638" s="49"/>
      <c r="E638" s="49"/>
      <c r="F638" s="49"/>
      <c r="G638" s="49"/>
      <c r="H638" s="50"/>
    </row>
    <row r="639" spans="1:8" ht="18">
      <c r="A639" s="768" t="s">
        <v>1150</v>
      </c>
      <c r="B639" s="49"/>
      <c r="C639" s="49"/>
      <c r="D639" s="49"/>
      <c r="E639" s="49"/>
      <c r="F639" s="49"/>
      <c r="G639" s="49"/>
      <c r="H639" s="50"/>
    </row>
    <row r="640" spans="1:8" ht="17.399999999999999">
      <c r="A640" s="49"/>
      <c r="B640" s="965" t="s">
        <v>1623</v>
      </c>
      <c r="C640" s="49"/>
      <c r="D640" s="49"/>
      <c r="E640" s="49"/>
      <c r="F640" s="49"/>
      <c r="G640" s="49"/>
      <c r="H640" s="50"/>
    </row>
    <row r="641" spans="1:8" ht="15.6">
      <c r="A641" s="49"/>
      <c r="B641" s="49"/>
      <c r="C641" s="49"/>
      <c r="D641" s="49"/>
      <c r="E641" s="49"/>
      <c r="F641" s="49"/>
      <c r="G641" s="49"/>
      <c r="H641" s="50"/>
    </row>
    <row r="642" spans="1:8" ht="15.6">
      <c r="A642" s="51"/>
      <c r="B642" s="51"/>
      <c r="C642" s="51"/>
      <c r="D642" s="51"/>
      <c r="E642" s="51"/>
      <c r="F642" s="51"/>
      <c r="G642" s="1509" t="s">
        <v>1625</v>
      </c>
      <c r="H642" s="1509"/>
    </row>
    <row r="643" spans="1:8" ht="15.6">
      <c r="A643" s="1509" t="s">
        <v>31</v>
      </c>
      <c r="B643" s="1509"/>
      <c r="C643" s="1509" t="s">
        <v>32</v>
      </c>
      <c r="D643" s="1509"/>
      <c r="E643" s="1509"/>
      <c r="F643" s="51"/>
      <c r="G643" s="1509" t="s">
        <v>33</v>
      </c>
      <c r="H643" s="1509"/>
    </row>
    <row r="644" spans="1:8" ht="15.6">
      <c r="A644" s="51"/>
      <c r="B644" s="51"/>
      <c r="C644" s="51"/>
      <c r="D644" s="51"/>
      <c r="E644" s="51"/>
      <c r="F644" s="51"/>
      <c r="G644" s="51"/>
      <c r="H644" s="51"/>
    </row>
    <row r="645" spans="1:8" ht="15.6">
      <c r="A645" s="51"/>
      <c r="B645" s="51"/>
      <c r="C645" s="51"/>
      <c r="D645" s="51"/>
      <c r="E645" s="51"/>
      <c r="F645" s="51"/>
      <c r="G645" s="51"/>
      <c r="H645" s="51"/>
    </row>
    <row r="646" spans="1:8" ht="15.6">
      <c r="A646" s="51"/>
      <c r="B646" s="51"/>
      <c r="C646" s="51"/>
      <c r="D646" s="51"/>
      <c r="E646" s="51"/>
      <c r="F646" s="51"/>
      <c r="G646" s="51"/>
      <c r="H646" s="51"/>
    </row>
    <row r="647" spans="1:8" ht="15.6">
      <c r="A647" s="1512" t="s">
        <v>1622</v>
      </c>
      <c r="B647" s="1512"/>
      <c r="C647" s="1512" t="s">
        <v>1603</v>
      </c>
      <c r="D647" s="1512"/>
      <c r="E647" s="1512"/>
      <c r="F647" s="51"/>
      <c r="G647" s="1512" t="s">
        <v>36</v>
      </c>
      <c r="H647" s="1512"/>
    </row>
    <row r="648" spans="1:8" ht="15.6">
      <c r="A648" s="1509" t="s">
        <v>37</v>
      </c>
      <c r="B648" s="1509"/>
      <c r="C648" s="1509" t="s">
        <v>1604</v>
      </c>
      <c r="D648" s="1509"/>
      <c r="E648" s="1509"/>
      <c r="F648" s="51"/>
      <c r="G648" s="1509" t="s">
        <v>39</v>
      </c>
      <c r="H648" s="1509"/>
    </row>
    <row r="649" spans="1:8" ht="15.6">
      <c r="A649" s="808"/>
      <c r="B649" s="808"/>
      <c r="C649" s="808"/>
      <c r="D649" s="808"/>
      <c r="E649" s="808"/>
      <c r="F649" s="808"/>
      <c r="G649" s="808"/>
      <c r="H649" s="808"/>
    </row>
    <row r="650" spans="1:8" ht="28.8">
      <c r="A650" s="597"/>
      <c r="B650" s="597"/>
      <c r="C650" s="1513" t="s">
        <v>235</v>
      </c>
      <c r="D650" s="1513"/>
      <c r="E650" s="1513"/>
      <c r="F650" s="1513"/>
      <c r="G650" s="1513"/>
      <c r="H650" s="1513"/>
    </row>
    <row r="651" spans="1:8" ht="28.8">
      <c r="A651" s="597"/>
      <c r="B651" s="597"/>
      <c r="C651" s="1541" t="s">
        <v>310</v>
      </c>
      <c r="D651" s="1541"/>
      <c r="E651" s="1541"/>
      <c r="F651" s="1541"/>
      <c r="G651" s="1541"/>
      <c r="H651" s="1541"/>
    </row>
    <row r="652" spans="1:8" ht="23.4">
      <c r="A652" s="830"/>
      <c r="B652" s="830"/>
      <c r="C652" s="1537" t="s">
        <v>1302</v>
      </c>
      <c r="D652" s="1537"/>
      <c r="E652" s="1537"/>
      <c r="F652" s="1537"/>
      <c r="G652" s="1537"/>
      <c r="H652" s="1537"/>
    </row>
    <row r="653" spans="1:8" ht="15.6">
      <c r="A653" s="769"/>
      <c r="B653" s="769"/>
      <c r="C653" s="769"/>
      <c r="D653" s="769"/>
      <c r="E653" s="769"/>
      <c r="F653" s="769"/>
      <c r="G653" s="769"/>
      <c r="H653" s="769"/>
    </row>
    <row r="654" spans="1:8" ht="15.6">
      <c r="A654" s="769"/>
      <c r="B654" s="769"/>
      <c r="C654" s="769"/>
      <c r="D654" s="769"/>
      <c r="E654" s="769"/>
      <c r="F654" s="769"/>
      <c r="G654" s="769"/>
      <c r="H654" s="769"/>
    </row>
    <row r="655" spans="1:8" ht="15.6">
      <c r="A655" s="1516" t="s">
        <v>3</v>
      </c>
      <c r="B655" s="1516" t="s">
        <v>4</v>
      </c>
      <c r="C655" s="1516" t="s">
        <v>5</v>
      </c>
      <c r="D655" s="1516" t="s">
        <v>6</v>
      </c>
      <c r="E655" s="1516" t="s">
        <v>7</v>
      </c>
      <c r="F655" s="770" t="s">
        <v>8</v>
      </c>
      <c r="G655" s="770" t="s">
        <v>9</v>
      </c>
      <c r="H655" s="770" t="s">
        <v>10</v>
      </c>
    </row>
    <row r="656" spans="1:8" ht="15.6">
      <c r="A656" s="1517"/>
      <c r="B656" s="1517"/>
      <c r="C656" s="1517"/>
      <c r="D656" s="1517"/>
      <c r="E656" s="1517"/>
      <c r="F656" s="771" t="s">
        <v>11</v>
      </c>
      <c r="G656" s="771" t="s">
        <v>11</v>
      </c>
      <c r="H656" s="771" t="s">
        <v>11</v>
      </c>
    </row>
    <row r="657" spans="1:8" ht="15.6">
      <c r="A657" s="770" t="s">
        <v>12</v>
      </c>
      <c r="B657" s="772" t="s">
        <v>364</v>
      </c>
      <c r="C657" s="773"/>
      <c r="D657" s="774"/>
      <c r="E657" s="774"/>
      <c r="F657" s="774"/>
      <c r="G657" s="775"/>
      <c r="H657" s="776"/>
    </row>
    <row r="658" spans="1:8" ht="15.6">
      <c r="A658" s="786"/>
      <c r="B658" s="969" t="s">
        <v>1541</v>
      </c>
      <c r="C658" s="779">
        <v>6</v>
      </c>
      <c r="D658" s="780" t="s">
        <v>132</v>
      </c>
      <c r="E658" s="780" t="s">
        <v>197</v>
      </c>
      <c r="F658" s="791" t="s">
        <v>126</v>
      </c>
      <c r="G658" s="791" t="s">
        <v>126</v>
      </c>
      <c r="H658" s="971"/>
    </row>
    <row r="659" spans="1:8" ht="15.6">
      <c r="A659" s="786"/>
      <c r="B659" s="969" t="s">
        <v>1542</v>
      </c>
      <c r="C659" s="779">
        <v>3</v>
      </c>
      <c r="D659" s="780" t="s">
        <v>132</v>
      </c>
      <c r="E659" s="780" t="s">
        <v>197</v>
      </c>
      <c r="F659" s="780" t="s">
        <v>126</v>
      </c>
      <c r="G659" s="986" t="s">
        <v>126</v>
      </c>
      <c r="H659" s="971"/>
    </row>
    <row r="660" spans="1:8" ht="15.6">
      <c r="A660" s="786"/>
      <c r="B660" s="969" t="s">
        <v>1543</v>
      </c>
      <c r="C660" s="779">
        <v>2</v>
      </c>
      <c r="D660" s="780" t="s">
        <v>44</v>
      </c>
      <c r="E660" s="780" t="s">
        <v>197</v>
      </c>
      <c r="F660" s="791" t="s">
        <v>126</v>
      </c>
      <c r="G660" s="791" t="s">
        <v>126</v>
      </c>
      <c r="H660" s="971"/>
    </row>
    <row r="661" spans="1:8" ht="15.6">
      <c r="A661" s="786"/>
      <c r="B661" s="969" t="s">
        <v>1544</v>
      </c>
      <c r="C661" s="779">
        <v>1</v>
      </c>
      <c r="D661" s="780" t="s">
        <v>44</v>
      </c>
      <c r="E661" s="780" t="s">
        <v>197</v>
      </c>
      <c r="F661" s="780" t="s">
        <v>126</v>
      </c>
      <c r="G661" s="986" t="s">
        <v>126</v>
      </c>
      <c r="H661" s="971"/>
    </row>
    <row r="662" spans="1:8" ht="15.6">
      <c r="A662" s="786"/>
      <c r="B662" s="969" t="s">
        <v>1545</v>
      </c>
      <c r="C662" s="779">
        <v>2</v>
      </c>
      <c r="D662" s="780" t="s">
        <v>44</v>
      </c>
      <c r="E662" s="780" t="s">
        <v>197</v>
      </c>
      <c r="F662" s="791" t="s">
        <v>126</v>
      </c>
      <c r="G662" s="791" t="s">
        <v>126</v>
      </c>
      <c r="H662" s="971"/>
    </row>
    <row r="663" spans="1:8" ht="15.6">
      <c r="A663" s="786"/>
      <c r="B663" s="969" t="s">
        <v>1546</v>
      </c>
      <c r="C663" s="779">
        <v>1</v>
      </c>
      <c r="D663" s="780" t="s">
        <v>44</v>
      </c>
      <c r="E663" s="780" t="s">
        <v>197</v>
      </c>
      <c r="F663" s="791" t="s">
        <v>126</v>
      </c>
      <c r="G663" s="791" t="s">
        <v>126</v>
      </c>
      <c r="H663" s="971"/>
    </row>
    <row r="664" spans="1:8" ht="15.6">
      <c r="A664" s="786"/>
      <c r="B664" s="969" t="s">
        <v>1547</v>
      </c>
      <c r="C664" s="779">
        <v>3</v>
      </c>
      <c r="D664" s="780" t="s">
        <v>44</v>
      </c>
      <c r="E664" s="780" t="s">
        <v>16</v>
      </c>
      <c r="F664" s="788">
        <v>75000</v>
      </c>
      <c r="G664" s="788">
        <f>F664*C664</f>
        <v>225000</v>
      </c>
      <c r="H664" s="971"/>
    </row>
    <row r="665" spans="1:8" ht="15.6">
      <c r="A665" s="786"/>
      <c r="B665" s="969" t="s">
        <v>1548</v>
      </c>
      <c r="C665" s="779">
        <v>1</v>
      </c>
      <c r="D665" s="780" t="s">
        <v>44</v>
      </c>
      <c r="E665" s="780" t="s">
        <v>51</v>
      </c>
      <c r="F665" s="788">
        <v>150000</v>
      </c>
      <c r="G665" s="788">
        <f>F665*C665</f>
        <v>150000</v>
      </c>
      <c r="H665" s="971"/>
    </row>
    <row r="666" spans="1:8" ht="15.6">
      <c r="A666" s="814"/>
      <c r="B666" s="806"/>
      <c r="C666" s="815"/>
      <c r="D666" s="816"/>
      <c r="E666" s="816"/>
      <c r="F666" s="817"/>
      <c r="G666" s="817"/>
      <c r="H666" s="818">
        <f>SUM(G657:G666)</f>
        <v>375000</v>
      </c>
    </row>
    <row r="667" spans="1:8" ht="15.6">
      <c r="A667" s="786" t="s">
        <v>18</v>
      </c>
      <c r="B667" s="787" t="s">
        <v>19</v>
      </c>
      <c r="C667" s="782"/>
      <c r="D667" s="780"/>
      <c r="E667" s="780"/>
      <c r="F667" s="778"/>
      <c r="G667" s="788"/>
      <c r="H667" s="789"/>
    </row>
    <row r="668" spans="1:8" ht="15.6">
      <c r="A668" s="790"/>
      <c r="B668" s="778" t="s">
        <v>1549</v>
      </c>
      <c r="C668" s="779"/>
      <c r="D668" s="791"/>
      <c r="E668" s="780"/>
      <c r="F668" s="789"/>
      <c r="G668" s="788"/>
      <c r="H668" s="789"/>
    </row>
    <row r="669" spans="1:8" ht="15.6">
      <c r="A669" s="790"/>
      <c r="B669" s="969" t="s">
        <v>1550</v>
      </c>
      <c r="C669" s="779">
        <v>1</v>
      </c>
      <c r="D669" s="780" t="s">
        <v>69</v>
      </c>
      <c r="E669" s="780" t="s">
        <v>51</v>
      </c>
      <c r="F669" s="788">
        <v>350000</v>
      </c>
      <c r="G669" s="788">
        <f t="shared" ref="G669:G674" si="9">F669*C669</f>
        <v>350000</v>
      </c>
      <c r="H669" s="789"/>
    </row>
    <row r="670" spans="1:8" ht="15.6">
      <c r="A670" s="790"/>
      <c r="B670" s="969" t="s">
        <v>1551</v>
      </c>
      <c r="C670" s="779">
        <v>1</v>
      </c>
      <c r="D670" s="780" t="s">
        <v>69</v>
      </c>
      <c r="E670" s="780" t="s">
        <v>51</v>
      </c>
      <c r="F670" s="788">
        <v>350000</v>
      </c>
      <c r="G670" s="788">
        <f t="shared" si="9"/>
        <v>350000</v>
      </c>
      <c r="H670" s="789"/>
    </row>
    <row r="671" spans="1:8" ht="15.6">
      <c r="A671" s="790"/>
      <c r="B671" s="969" t="s">
        <v>1552</v>
      </c>
      <c r="C671" s="779">
        <v>2</v>
      </c>
      <c r="D671" s="780" t="s">
        <v>21</v>
      </c>
      <c r="E671" s="780" t="s">
        <v>51</v>
      </c>
      <c r="F671" s="788">
        <v>300000</v>
      </c>
      <c r="G671" s="788">
        <f t="shared" si="9"/>
        <v>600000</v>
      </c>
      <c r="H671" s="789"/>
    </row>
    <row r="672" spans="1:8" ht="15.6">
      <c r="A672" s="790"/>
      <c r="B672" s="969" t="s">
        <v>1553</v>
      </c>
      <c r="C672" s="779">
        <v>1</v>
      </c>
      <c r="D672" s="780" t="s">
        <v>21</v>
      </c>
      <c r="E672" s="780" t="s">
        <v>51</v>
      </c>
      <c r="F672" s="788">
        <v>500000</v>
      </c>
      <c r="G672" s="788">
        <f t="shared" si="9"/>
        <v>500000</v>
      </c>
      <c r="H672" s="789"/>
    </row>
    <row r="673" spans="1:8" ht="15.6">
      <c r="A673" s="790"/>
      <c r="B673" s="969" t="s">
        <v>1554</v>
      </c>
      <c r="C673" s="779">
        <v>2</v>
      </c>
      <c r="D673" s="780" t="s">
        <v>21</v>
      </c>
      <c r="E673" s="780" t="s">
        <v>51</v>
      </c>
      <c r="F673" s="788">
        <v>1500000</v>
      </c>
      <c r="G673" s="788">
        <f t="shared" si="9"/>
        <v>3000000</v>
      </c>
      <c r="H673" s="789"/>
    </row>
    <row r="674" spans="1:8" ht="15.6">
      <c r="A674" s="790"/>
      <c r="B674" s="969" t="s">
        <v>1555</v>
      </c>
      <c r="C674" s="779">
        <v>1</v>
      </c>
      <c r="D674" s="780" t="s">
        <v>21</v>
      </c>
      <c r="E674" s="780" t="s">
        <v>51</v>
      </c>
      <c r="F674" s="788">
        <v>1950000</v>
      </c>
      <c r="G674" s="788">
        <f t="shared" si="9"/>
        <v>1950000</v>
      </c>
      <c r="H674" s="789"/>
    </row>
    <row r="675" spans="1:8" ht="15.6">
      <c r="A675" s="790"/>
      <c r="B675" s="969"/>
      <c r="C675" s="779"/>
      <c r="D675" s="780"/>
      <c r="E675" s="780"/>
      <c r="F675" s="788"/>
      <c r="G675" s="788"/>
      <c r="H675" s="789"/>
    </row>
    <row r="676" spans="1:8" ht="15.6">
      <c r="A676" s="790"/>
      <c r="B676" s="778" t="s">
        <v>1556</v>
      </c>
      <c r="C676" s="779"/>
      <c r="D676" s="780"/>
      <c r="E676" s="780"/>
      <c r="F676" s="788"/>
      <c r="G676" s="788"/>
      <c r="H676" s="789"/>
    </row>
    <row r="677" spans="1:8" ht="15.6">
      <c r="A677" s="790"/>
      <c r="B677" s="969" t="s">
        <v>1557</v>
      </c>
      <c r="C677" s="779">
        <v>304</v>
      </c>
      <c r="D677" s="780" t="s">
        <v>81</v>
      </c>
      <c r="E677" s="780" t="s">
        <v>82</v>
      </c>
      <c r="F677" s="788">
        <v>4786.5</v>
      </c>
      <c r="G677" s="788">
        <f>F677*C677</f>
        <v>1455096</v>
      </c>
      <c r="H677" s="789"/>
    </row>
    <row r="678" spans="1:8" ht="15.6">
      <c r="A678" s="790"/>
      <c r="B678" s="969" t="s">
        <v>1558</v>
      </c>
      <c r="C678" s="779">
        <v>1160</v>
      </c>
      <c r="D678" s="780" t="s">
        <v>84</v>
      </c>
      <c r="E678" s="780" t="s">
        <v>82</v>
      </c>
      <c r="F678" s="788">
        <v>3200.16</v>
      </c>
      <c r="G678" s="788">
        <f>F678*C678</f>
        <v>3712185.5999999996</v>
      </c>
      <c r="H678" s="789"/>
    </row>
    <row r="679" spans="1:8" ht="15.6">
      <c r="A679" s="790"/>
      <c r="B679" s="969" t="s">
        <v>1559</v>
      </c>
      <c r="C679" s="779">
        <v>840</v>
      </c>
      <c r="D679" s="780" t="s">
        <v>84</v>
      </c>
      <c r="E679" s="780" t="s">
        <v>82</v>
      </c>
      <c r="F679" s="788">
        <v>3200.16</v>
      </c>
      <c r="G679" s="788">
        <f>F679*C679</f>
        <v>2688134.4</v>
      </c>
      <c r="H679" s="789"/>
    </row>
    <row r="680" spans="1:8" ht="15.6">
      <c r="A680" s="790"/>
      <c r="B680" s="969" t="s">
        <v>1561</v>
      </c>
      <c r="C680" s="779">
        <v>126</v>
      </c>
      <c r="D680" s="780" t="s">
        <v>81</v>
      </c>
      <c r="E680" s="780" t="s">
        <v>87</v>
      </c>
      <c r="F680" s="788">
        <v>51729.21</v>
      </c>
      <c r="G680" s="788">
        <f>F680*C680</f>
        <v>6517880.46</v>
      </c>
      <c r="H680" s="789"/>
    </row>
    <row r="681" spans="1:8" ht="15.6">
      <c r="A681" s="790"/>
      <c r="B681" s="969"/>
      <c r="C681" s="779"/>
      <c r="D681" s="780"/>
      <c r="E681" s="780"/>
      <c r="F681" s="788"/>
      <c r="G681" s="788"/>
      <c r="H681" s="789"/>
    </row>
    <row r="682" spans="1:8" ht="15.6">
      <c r="A682" s="790"/>
      <c r="B682" s="778" t="s">
        <v>1560</v>
      </c>
      <c r="C682" s="779">
        <v>60</v>
      </c>
      <c r="D682" s="780" t="s">
        <v>245</v>
      </c>
      <c r="E682" s="780" t="s">
        <v>51</v>
      </c>
      <c r="F682" s="788">
        <v>10000</v>
      </c>
      <c r="G682" s="788">
        <f>F682*C682</f>
        <v>600000</v>
      </c>
      <c r="H682" s="789"/>
    </row>
    <row r="683" spans="1:8" ht="15.6">
      <c r="A683" s="790"/>
      <c r="B683" s="777"/>
      <c r="C683" s="788"/>
      <c r="D683" s="780"/>
      <c r="E683" s="780"/>
      <c r="F683" s="788"/>
      <c r="G683" s="788"/>
      <c r="H683" s="789"/>
    </row>
    <row r="684" spans="1:8" ht="15.6">
      <c r="A684" s="793"/>
      <c r="B684" s="783"/>
      <c r="C684" s="794"/>
      <c r="D684" s="795"/>
      <c r="E684" s="811"/>
      <c r="F684" s="811" t="s">
        <v>25</v>
      </c>
      <c r="G684" s="813">
        <f>SUM(G668:G683)</f>
        <v>21723296.460000001</v>
      </c>
      <c r="H684" s="810"/>
    </row>
    <row r="685" spans="1:8" ht="15.6">
      <c r="A685" s="820"/>
      <c r="B685" s="821"/>
      <c r="C685" s="822"/>
      <c r="D685" s="822"/>
      <c r="E685" s="823"/>
      <c r="F685" s="819" t="s">
        <v>1151</v>
      </c>
      <c r="G685" s="964">
        <f>G684/10</f>
        <v>2172329.6460000002</v>
      </c>
      <c r="H685" s="825"/>
    </row>
    <row r="686" spans="1:8" ht="15.6">
      <c r="A686" s="796"/>
      <c r="B686" s="797"/>
      <c r="C686" s="784"/>
      <c r="D686" s="784"/>
      <c r="E686" s="785"/>
      <c r="F686" s="812"/>
      <c r="G686" s="798"/>
      <c r="H686" s="826">
        <f>G684+G685</f>
        <v>23895626.106000002</v>
      </c>
    </row>
    <row r="687" spans="1:8" ht="15.6">
      <c r="A687" s="820"/>
      <c r="B687" s="821"/>
      <c r="C687" s="822"/>
      <c r="D687" s="822"/>
      <c r="E687" s="823"/>
      <c r="F687" s="819"/>
      <c r="G687" s="824"/>
      <c r="H687" s="827"/>
    </row>
    <row r="688" spans="1:8" ht="15.6">
      <c r="A688" s="799"/>
      <c r="B688" s="800"/>
      <c r="C688" s="800"/>
      <c r="D688" s="800"/>
      <c r="E688" s="800"/>
      <c r="F688" s="801"/>
      <c r="G688" s="828" t="s">
        <v>28</v>
      </c>
      <c r="H688" s="775">
        <f>H686+H666</f>
        <v>24270626.106000002</v>
      </c>
    </row>
    <row r="689" spans="1:8" ht="15.6">
      <c r="A689" s="802"/>
      <c r="B689" s="803"/>
      <c r="C689" s="804"/>
      <c r="D689" s="804"/>
      <c r="E689" s="804"/>
      <c r="F689" s="805"/>
      <c r="G689" s="829" t="s">
        <v>30</v>
      </c>
      <c r="H689" s="807">
        <f>ROUND(H688,-3)</f>
        <v>24271000</v>
      </c>
    </row>
    <row r="690" spans="1:8" ht="15.6">
      <c r="A690" s="49"/>
      <c r="B690" s="49"/>
      <c r="C690" s="49"/>
      <c r="D690" s="49"/>
      <c r="E690" s="49"/>
      <c r="F690" s="49"/>
      <c r="G690" s="49"/>
      <c r="H690" s="50"/>
    </row>
    <row r="691" spans="1:8" ht="18">
      <c r="A691" s="768" t="s">
        <v>1150</v>
      </c>
      <c r="B691" s="49"/>
      <c r="C691" s="49"/>
      <c r="D691" s="49"/>
      <c r="E691" s="49"/>
      <c r="F691" s="49"/>
      <c r="G691" s="49"/>
      <c r="H691" s="50"/>
    </row>
    <row r="692" spans="1:8" ht="17.399999999999999">
      <c r="A692" s="49"/>
      <c r="B692" s="965" t="s">
        <v>1574</v>
      </c>
      <c r="C692" s="49"/>
      <c r="D692" s="49"/>
      <c r="E692" s="49"/>
      <c r="F692" s="49"/>
      <c r="G692" s="49"/>
      <c r="H692" s="50"/>
    </row>
    <row r="693" spans="1:8" ht="15.6">
      <c r="A693" s="49"/>
      <c r="B693" s="49"/>
      <c r="C693" s="49"/>
      <c r="D693" s="49"/>
      <c r="E693" s="49"/>
      <c r="F693" s="49"/>
      <c r="G693" s="49"/>
      <c r="H693" s="50"/>
    </row>
    <row r="694" spans="1:8" ht="15.6">
      <c r="A694" s="51"/>
      <c r="B694" s="51"/>
      <c r="C694" s="51"/>
      <c r="D694" s="51"/>
      <c r="E694" s="51"/>
      <c r="F694" s="51"/>
      <c r="G694" s="1509" t="s">
        <v>1562</v>
      </c>
      <c r="H694" s="1509"/>
    </row>
    <row r="695" spans="1:8" ht="15.6">
      <c r="A695" s="1509" t="s">
        <v>31</v>
      </c>
      <c r="B695" s="1509"/>
      <c r="C695" s="1509" t="s">
        <v>32</v>
      </c>
      <c r="D695" s="1509"/>
      <c r="E695" s="1509"/>
      <c r="F695" s="51"/>
      <c r="G695" s="1509" t="s">
        <v>33</v>
      </c>
      <c r="H695" s="1509"/>
    </row>
    <row r="696" spans="1:8" ht="15.6">
      <c r="A696" s="51"/>
      <c r="B696" s="51"/>
      <c r="C696" s="51"/>
      <c r="D696" s="51"/>
      <c r="E696" s="51"/>
      <c r="F696" s="51"/>
      <c r="G696" s="51"/>
      <c r="H696" s="51"/>
    </row>
    <row r="697" spans="1:8" ht="15.6">
      <c r="A697" s="51"/>
      <c r="B697" s="51"/>
      <c r="C697" s="51"/>
      <c r="D697" s="51"/>
      <c r="E697" s="51"/>
      <c r="F697" s="51"/>
      <c r="G697" s="51"/>
      <c r="H697" s="51"/>
    </row>
    <row r="698" spans="1:8" ht="15.6">
      <c r="A698" s="51"/>
      <c r="B698" s="51"/>
      <c r="C698" s="51"/>
      <c r="D698" s="51"/>
      <c r="E698" s="51"/>
      <c r="F698" s="51"/>
      <c r="G698" s="51"/>
      <c r="H698" s="51"/>
    </row>
    <row r="699" spans="1:8" ht="15.6">
      <c r="A699" s="1512" t="s">
        <v>34</v>
      </c>
      <c r="B699" s="1512"/>
      <c r="C699" s="1512" t="s">
        <v>35</v>
      </c>
      <c r="D699" s="1512"/>
      <c r="E699" s="1512"/>
      <c r="F699" s="51"/>
      <c r="G699" s="1512" t="s">
        <v>36</v>
      </c>
      <c r="H699" s="1512"/>
    </row>
    <row r="700" spans="1:8" ht="15.6">
      <c r="A700" s="1509" t="s">
        <v>37</v>
      </c>
      <c r="B700" s="1509"/>
      <c r="C700" s="1509" t="s">
        <v>38</v>
      </c>
      <c r="D700" s="1509"/>
      <c r="E700" s="1509"/>
      <c r="F700" s="51"/>
      <c r="G700" s="1509" t="s">
        <v>39</v>
      </c>
      <c r="H700" s="1509"/>
    </row>
    <row r="701" spans="1:8" ht="15.6">
      <c r="A701" s="808"/>
      <c r="B701" s="808"/>
      <c r="C701" s="808"/>
      <c r="D701" s="808"/>
      <c r="E701" s="808"/>
      <c r="F701" s="808"/>
      <c r="G701" s="808"/>
      <c r="H701" s="808"/>
    </row>
  </sheetData>
  <mergeCells count="301">
    <mergeCell ref="L41:M41"/>
    <mergeCell ref="N41:O41"/>
    <mergeCell ref="Q36:R36"/>
    <mergeCell ref="Q33:R33"/>
    <mergeCell ref="N2:R2"/>
    <mergeCell ref="N34:P34"/>
    <mergeCell ref="Q34:R34"/>
    <mergeCell ref="Q37:R37"/>
    <mergeCell ref="L37:M37"/>
    <mergeCell ref="N37:P37"/>
    <mergeCell ref="L36:M36"/>
    <mergeCell ref="N36:P36"/>
    <mergeCell ref="N33:P33"/>
    <mergeCell ref="L34:M34"/>
    <mergeCell ref="L33:M33"/>
    <mergeCell ref="L29:M29"/>
    <mergeCell ref="N29:P29"/>
    <mergeCell ref="Q29:R29"/>
    <mergeCell ref="N3:R3"/>
    <mergeCell ref="N4:R4"/>
    <mergeCell ref="N7:N8"/>
    <mergeCell ref="O7:O8"/>
    <mergeCell ref="L7:L8"/>
    <mergeCell ref="M7:M8"/>
    <mergeCell ref="A108:B108"/>
    <mergeCell ref="C108:E108"/>
    <mergeCell ref="Q28:R28"/>
    <mergeCell ref="G108:H108"/>
    <mergeCell ref="A192:B192"/>
    <mergeCell ref="C192:E192"/>
    <mergeCell ref="A104:B104"/>
    <mergeCell ref="C104:E104"/>
    <mergeCell ref="G104:H104"/>
    <mergeCell ref="G192:H192"/>
    <mergeCell ref="C155:H155"/>
    <mergeCell ref="C156:H156"/>
    <mergeCell ref="C157:H157"/>
    <mergeCell ref="A160:A161"/>
    <mergeCell ref="B160:B161"/>
    <mergeCell ref="G103:H103"/>
    <mergeCell ref="A83:A84"/>
    <mergeCell ref="B83:B84"/>
    <mergeCell ref="C83:C84"/>
    <mergeCell ref="D83:D84"/>
    <mergeCell ref="Q42:R42"/>
    <mergeCell ref="L42:M42"/>
    <mergeCell ref="N42:O42"/>
    <mergeCell ref="Q41:R41"/>
    <mergeCell ref="A109:B109"/>
    <mergeCell ref="C109:E109"/>
    <mergeCell ref="G109:H109"/>
    <mergeCell ref="A204:A205"/>
    <mergeCell ref="B204:B205"/>
    <mergeCell ref="C204:C205"/>
    <mergeCell ref="D204:D205"/>
    <mergeCell ref="E204:E205"/>
    <mergeCell ref="A338:B338"/>
    <mergeCell ref="C338:E338"/>
    <mergeCell ref="C301:H301"/>
    <mergeCell ref="C302:H302"/>
    <mergeCell ref="C303:H303"/>
    <mergeCell ref="G338:H338"/>
    <mergeCell ref="G332:H332"/>
    <mergeCell ref="A333:B333"/>
    <mergeCell ref="C333:E333"/>
    <mergeCell ref="G333:H333"/>
    <mergeCell ref="A337:B337"/>
    <mergeCell ref="C337:E337"/>
    <mergeCell ref="G337:H337"/>
    <mergeCell ref="A306:A307"/>
    <mergeCell ref="B306:B307"/>
    <mergeCell ref="C306:C307"/>
    <mergeCell ref="C79:H79"/>
    <mergeCell ref="C78:H78"/>
    <mergeCell ref="A193:B193"/>
    <mergeCell ref="C193:E193"/>
    <mergeCell ref="G193:H193"/>
    <mergeCell ref="G187:H187"/>
    <mergeCell ref="A188:B188"/>
    <mergeCell ref="C188:E188"/>
    <mergeCell ref="G188:H188"/>
    <mergeCell ref="C160:C161"/>
    <mergeCell ref="D160:D161"/>
    <mergeCell ref="E160:E161"/>
    <mergeCell ref="C111:H111"/>
    <mergeCell ref="C112:H112"/>
    <mergeCell ref="C113:H113"/>
    <mergeCell ref="A116:A117"/>
    <mergeCell ref="B116:B117"/>
    <mergeCell ref="C148:E148"/>
    <mergeCell ref="G148:H148"/>
    <mergeCell ref="C116:C117"/>
    <mergeCell ref="D116:D117"/>
    <mergeCell ref="E116:E117"/>
    <mergeCell ref="A149:B149"/>
    <mergeCell ref="C149:E149"/>
    <mergeCell ref="D306:D307"/>
    <mergeCell ref="E306:E307"/>
    <mergeCell ref="A414:B414"/>
    <mergeCell ref="C414:E414"/>
    <mergeCell ref="C386:H386"/>
    <mergeCell ref="C385:H385"/>
    <mergeCell ref="C384:H384"/>
    <mergeCell ref="G414:H414"/>
    <mergeCell ref="A413:B413"/>
    <mergeCell ref="C413:E413"/>
    <mergeCell ref="G413:H413"/>
    <mergeCell ref="A409:B409"/>
    <mergeCell ref="C409:E409"/>
    <mergeCell ref="G409:H409"/>
    <mergeCell ref="G408:H408"/>
    <mergeCell ref="A389:A390"/>
    <mergeCell ref="B389:B390"/>
    <mergeCell ref="C389:C390"/>
    <mergeCell ref="D389:D390"/>
    <mergeCell ref="E389:E390"/>
    <mergeCell ref="C343:H343"/>
    <mergeCell ref="C344:H344"/>
    <mergeCell ref="C345:H345"/>
    <mergeCell ref="A348:A349"/>
    <mergeCell ref="C459:H459"/>
    <mergeCell ref="E423:E424"/>
    <mergeCell ref="A450:B450"/>
    <mergeCell ref="C450:E450"/>
    <mergeCell ref="G450:H450"/>
    <mergeCell ref="A455:B455"/>
    <mergeCell ref="E552:E553"/>
    <mergeCell ref="A545:B545"/>
    <mergeCell ref="C545:E545"/>
    <mergeCell ref="G545:H545"/>
    <mergeCell ref="G539:H539"/>
    <mergeCell ref="A540:B540"/>
    <mergeCell ref="C540:E540"/>
    <mergeCell ref="G540:H540"/>
    <mergeCell ref="A544:B544"/>
    <mergeCell ref="C544:E544"/>
    <mergeCell ref="G544:H544"/>
    <mergeCell ref="G449:H449"/>
    <mergeCell ref="C419:H419"/>
    <mergeCell ref="C418:H418"/>
    <mergeCell ref="C420:H420"/>
    <mergeCell ref="A423:A424"/>
    <mergeCell ref="B423:B424"/>
    <mergeCell ref="C423:C424"/>
    <mergeCell ref="D423:D424"/>
    <mergeCell ref="C455:E455"/>
    <mergeCell ref="G455:H455"/>
    <mergeCell ref="A454:B454"/>
    <mergeCell ref="C454:E454"/>
    <mergeCell ref="G454:H454"/>
    <mergeCell ref="G694:H694"/>
    <mergeCell ref="C652:H652"/>
    <mergeCell ref="A655:A656"/>
    <mergeCell ref="B655:B656"/>
    <mergeCell ref="C655:C656"/>
    <mergeCell ref="G642:H642"/>
    <mergeCell ref="C648:E648"/>
    <mergeCell ref="G587:H587"/>
    <mergeCell ref="G648:H648"/>
    <mergeCell ref="C647:E647"/>
    <mergeCell ref="G647:H647"/>
    <mergeCell ref="C643:E643"/>
    <mergeCell ref="D655:D656"/>
    <mergeCell ref="E655:E656"/>
    <mergeCell ref="E603:E604"/>
    <mergeCell ref="A603:A604"/>
    <mergeCell ref="B603:B604"/>
    <mergeCell ref="C603:C604"/>
    <mergeCell ref="D603:D604"/>
    <mergeCell ref="C600:H600"/>
    <mergeCell ref="C599:H599"/>
    <mergeCell ref="C598:H598"/>
    <mergeCell ref="A648:B648"/>
    <mergeCell ref="C651:H651"/>
    <mergeCell ref="A700:B700"/>
    <mergeCell ref="C700:E700"/>
    <mergeCell ref="G700:H700"/>
    <mergeCell ref="A695:B695"/>
    <mergeCell ref="C695:E695"/>
    <mergeCell ref="G695:H695"/>
    <mergeCell ref="C699:E699"/>
    <mergeCell ref="G699:H699"/>
    <mergeCell ref="A699:B699"/>
    <mergeCell ref="C650:H650"/>
    <mergeCell ref="A647:B647"/>
    <mergeCell ref="A643:B643"/>
    <mergeCell ref="G643:H643"/>
    <mergeCell ref="C510:H510"/>
    <mergeCell ref="C511:H511"/>
    <mergeCell ref="C512:H512"/>
    <mergeCell ref="A515:A516"/>
    <mergeCell ref="B515:B516"/>
    <mergeCell ref="C515:C516"/>
    <mergeCell ref="D515:D516"/>
    <mergeCell ref="E515:E516"/>
    <mergeCell ref="C549:H549"/>
    <mergeCell ref="C548:H548"/>
    <mergeCell ref="C547:H547"/>
    <mergeCell ref="A552:A553"/>
    <mergeCell ref="B552:B553"/>
    <mergeCell ref="C552:C553"/>
    <mergeCell ref="D552:D553"/>
    <mergeCell ref="A593:B593"/>
    <mergeCell ref="C593:E593"/>
    <mergeCell ref="G593:H593"/>
    <mergeCell ref="A592:B592"/>
    <mergeCell ref="C592:E592"/>
    <mergeCell ref="G592:H592"/>
    <mergeCell ref="A588:B588"/>
    <mergeCell ref="C588:E588"/>
    <mergeCell ref="G588:H588"/>
    <mergeCell ref="C460:H460"/>
    <mergeCell ref="C461:H461"/>
    <mergeCell ref="A464:A465"/>
    <mergeCell ref="B464:B465"/>
    <mergeCell ref="C464:C465"/>
    <mergeCell ref="D464:D465"/>
    <mergeCell ref="E464:E465"/>
    <mergeCell ref="A509:B509"/>
    <mergeCell ref="C509:E509"/>
    <mergeCell ref="G509:H509"/>
    <mergeCell ref="G503:H503"/>
    <mergeCell ref="A504:B504"/>
    <mergeCell ref="C504:E504"/>
    <mergeCell ref="G504:H504"/>
    <mergeCell ref="A508:B508"/>
    <mergeCell ref="C508:E508"/>
    <mergeCell ref="G508:H508"/>
    <mergeCell ref="B348:B349"/>
    <mergeCell ref="C348:C349"/>
    <mergeCell ref="D348:D349"/>
    <mergeCell ref="E348:E349"/>
    <mergeCell ref="A381:B381"/>
    <mergeCell ref="C381:E381"/>
    <mergeCell ref="G381:H381"/>
    <mergeCell ref="G375:H375"/>
    <mergeCell ref="A376:B376"/>
    <mergeCell ref="C376:E376"/>
    <mergeCell ref="G376:H376"/>
    <mergeCell ref="A380:B380"/>
    <mergeCell ref="C380:E380"/>
    <mergeCell ref="G380:H380"/>
    <mergeCell ref="E366:G366"/>
    <mergeCell ref="A297:B297"/>
    <mergeCell ref="C297:E297"/>
    <mergeCell ref="G297:H297"/>
    <mergeCell ref="G291:H291"/>
    <mergeCell ref="A292:B292"/>
    <mergeCell ref="C292:E292"/>
    <mergeCell ref="G292:H292"/>
    <mergeCell ref="A296:B296"/>
    <mergeCell ref="C296:E296"/>
    <mergeCell ref="G296:H296"/>
    <mergeCell ref="G41:H41"/>
    <mergeCell ref="C254:H254"/>
    <mergeCell ref="C255:H255"/>
    <mergeCell ref="C256:H256"/>
    <mergeCell ref="A259:A260"/>
    <mergeCell ref="B259:B260"/>
    <mergeCell ref="C259:C260"/>
    <mergeCell ref="D259:D260"/>
    <mergeCell ref="E259:E260"/>
    <mergeCell ref="A249:B249"/>
    <mergeCell ref="C249:E249"/>
    <mergeCell ref="C199:H199"/>
    <mergeCell ref="C200:H200"/>
    <mergeCell ref="C201:H201"/>
    <mergeCell ref="G249:H249"/>
    <mergeCell ref="G243:H243"/>
    <mergeCell ref="A244:B244"/>
    <mergeCell ref="C244:E244"/>
    <mergeCell ref="G244:H244"/>
    <mergeCell ref="A248:B248"/>
    <mergeCell ref="C248:E248"/>
    <mergeCell ref="G248:H248"/>
    <mergeCell ref="E83:E84"/>
    <mergeCell ref="C80:H80"/>
    <mergeCell ref="C2:H2"/>
    <mergeCell ref="C3:H3"/>
    <mergeCell ref="C4:H4"/>
    <mergeCell ref="A7:A8"/>
    <mergeCell ref="B7:B8"/>
    <mergeCell ref="C7:C8"/>
    <mergeCell ref="D7:D8"/>
    <mergeCell ref="E7:E8"/>
    <mergeCell ref="F360:G360"/>
    <mergeCell ref="A42:B42"/>
    <mergeCell ref="C42:E42"/>
    <mergeCell ref="G42:H42"/>
    <mergeCell ref="G36:H36"/>
    <mergeCell ref="A37:B37"/>
    <mergeCell ref="C37:E37"/>
    <mergeCell ref="G37:H37"/>
    <mergeCell ref="A41:B41"/>
    <mergeCell ref="C41:E41"/>
    <mergeCell ref="G149:H149"/>
    <mergeCell ref="G143:H143"/>
    <mergeCell ref="A144:B144"/>
    <mergeCell ref="C144:E144"/>
    <mergeCell ref="G144:H144"/>
    <mergeCell ref="A148:B148"/>
  </mergeCells>
  <printOptions horizontalCentered="1"/>
  <pageMargins left="0.11811023622047245" right="0.11811023622047245" top="1.0629921259842521" bottom="0.11811023622047245" header="1.1811023622047245" footer="0.19685039370078741"/>
  <pageSetup paperSize="256" scale="10" firstPageNumber="4294963191" orientation="portrait" horizontalDpi="4294967293" vertic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2:IV2182"/>
  <sheetViews>
    <sheetView topLeftCell="A409" zoomScale="70" zoomScaleNormal="70" workbookViewId="0">
      <selection activeCell="C424" sqref="A1:IV65536"/>
    </sheetView>
  </sheetViews>
  <sheetFormatPr defaultColWidth="9.109375" defaultRowHeight="12"/>
  <cols>
    <col min="1" max="1" width="4.5546875" style="1" customWidth="1"/>
    <col min="2" max="2" width="69.88671875" style="1" customWidth="1"/>
    <col min="3" max="3" width="13" style="1" bestFit="1" customWidth="1"/>
    <col min="4" max="4" width="8.44140625" style="1" customWidth="1"/>
    <col min="5" max="5" width="19.5546875" style="1" bestFit="1" customWidth="1"/>
    <col min="6" max="6" width="16.6640625" style="1" customWidth="1"/>
    <col min="7" max="7" width="19.5546875" style="1" bestFit="1" customWidth="1"/>
    <col min="8" max="8" width="20.109375" style="1" bestFit="1" customWidth="1"/>
    <col min="9" max="9" width="9.109375" style="1" customWidth="1"/>
    <col min="10" max="10" width="13.109375" style="1" customWidth="1"/>
    <col min="11" max="11" width="16" style="1" customWidth="1"/>
    <col min="12" max="12" width="12.109375" style="1" bestFit="1" customWidth="1"/>
    <col min="13" max="13" width="9.109375" style="1"/>
    <col min="14" max="14" width="18.5546875" style="1" customWidth="1"/>
    <col min="15" max="16384" width="9.109375" style="1"/>
  </cols>
  <sheetData>
    <row r="2" spans="1:8" ht="28.8">
      <c r="A2" s="597"/>
      <c r="B2" s="597"/>
      <c r="C2" s="1513" t="s">
        <v>235</v>
      </c>
      <c r="D2" s="1513"/>
      <c r="E2" s="1513"/>
      <c r="F2" s="1513"/>
      <c r="G2" s="1513"/>
      <c r="H2" s="1513"/>
    </row>
    <row r="3" spans="1:8" ht="28.8">
      <c r="A3" s="597"/>
      <c r="B3" s="597"/>
      <c r="C3" s="1541" t="s">
        <v>1506</v>
      </c>
      <c r="D3" s="1541"/>
      <c r="E3" s="1541"/>
      <c r="F3" s="1541"/>
      <c r="G3" s="1541"/>
      <c r="H3" s="1541"/>
    </row>
    <row r="4" spans="1:8" ht="23.4">
      <c r="A4" s="830"/>
      <c r="B4" s="830"/>
      <c r="C4" s="1537" t="s">
        <v>466</v>
      </c>
      <c r="D4" s="1537"/>
      <c r="E4" s="1537"/>
      <c r="F4" s="1537"/>
      <c r="G4" s="1537"/>
      <c r="H4" s="1537"/>
    </row>
    <row r="5" spans="1:8" ht="15.6">
      <c r="A5" s="769"/>
      <c r="B5" s="769"/>
      <c r="C5" s="769"/>
      <c r="D5" s="769"/>
      <c r="E5" s="769"/>
      <c r="F5" s="769"/>
      <c r="G5" s="769"/>
      <c r="H5" s="769"/>
    </row>
    <row r="6" spans="1:8" ht="15.6">
      <c r="A6" s="769"/>
      <c r="B6" s="769"/>
      <c r="C6" s="769"/>
      <c r="D6" s="769"/>
      <c r="E6" s="769"/>
      <c r="F6" s="769"/>
      <c r="G6" s="769"/>
      <c r="H6" s="769"/>
    </row>
    <row r="7" spans="1:8" ht="15.6">
      <c r="A7" s="1516" t="s">
        <v>3</v>
      </c>
      <c r="B7" s="1516" t="s">
        <v>4</v>
      </c>
      <c r="C7" s="1516" t="s">
        <v>5</v>
      </c>
      <c r="D7" s="1516" t="s">
        <v>6</v>
      </c>
      <c r="E7" s="1516" t="s">
        <v>7</v>
      </c>
      <c r="F7" s="770" t="s">
        <v>8</v>
      </c>
      <c r="G7" s="770" t="s">
        <v>9</v>
      </c>
      <c r="H7" s="770" t="s">
        <v>10</v>
      </c>
    </row>
    <row r="8" spans="1:8" ht="15.6">
      <c r="A8" s="1517"/>
      <c r="B8" s="1517"/>
      <c r="C8" s="1517"/>
      <c r="D8" s="1517"/>
      <c r="E8" s="1517"/>
      <c r="F8" s="771" t="s">
        <v>11</v>
      </c>
      <c r="G8" s="771" t="s">
        <v>11</v>
      </c>
      <c r="H8" s="771" t="s">
        <v>11</v>
      </c>
    </row>
    <row r="9" spans="1:8" ht="15.6">
      <c r="A9" s="770" t="s">
        <v>12</v>
      </c>
      <c r="B9" s="772" t="s">
        <v>364</v>
      </c>
      <c r="C9" s="773"/>
      <c r="D9" s="774"/>
      <c r="E9" s="774"/>
      <c r="F9" s="774"/>
      <c r="G9" s="775"/>
      <c r="H9" s="776"/>
    </row>
    <row r="10" spans="1:8" ht="15.6">
      <c r="A10" s="786"/>
      <c r="B10" s="969" t="s">
        <v>1507</v>
      </c>
      <c r="C10" s="779">
        <v>6</v>
      </c>
      <c r="D10" s="780" t="s">
        <v>44</v>
      </c>
      <c r="E10" s="780" t="s">
        <v>16</v>
      </c>
      <c r="F10" s="788">
        <v>175000</v>
      </c>
      <c r="G10" s="788">
        <f>F10*C10</f>
        <v>1050000</v>
      </c>
      <c r="H10" s="971"/>
    </row>
    <row r="11" spans="1:8" ht="15.6">
      <c r="A11" s="786"/>
      <c r="B11" s="778" t="s">
        <v>1508</v>
      </c>
      <c r="C11" s="779"/>
      <c r="D11" s="780"/>
      <c r="E11" s="780"/>
      <c r="F11" s="777"/>
      <c r="G11" s="970"/>
      <c r="H11" s="971"/>
    </row>
    <row r="12" spans="1:8" ht="15.6">
      <c r="A12" s="786"/>
      <c r="B12" s="969" t="s">
        <v>1509</v>
      </c>
      <c r="C12" s="779">
        <v>6</v>
      </c>
      <c r="D12" s="780" t="s">
        <v>44</v>
      </c>
      <c r="E12" s="780" t="s">
        <v>16</v>
      </c>
      <c r="F12" s="788">
        <v>195000</v>
      </c>
      <c r="G12" s="788">
        <f>F12*C12</f>
        <v>1170000</v>
      </c>
      <c r="H12" s="971"/>
    </row>
    <row r="13" spans="1:8" ht="15.6">
      <c r="A13" s="786"/>
      <c r="B13" s="778" t="s">
        <v>1508</v>
      </c>
      <c r="C13" s="779"/>
      <c r="D13" s="780"/>
      <c r="E13" s="780"/>
      <c r="F13" s="777"/>
      <c r="G13" s="970"/>
      <c r="H13" s="971"/>
    </row>
    <row r="14" spans="1:8" ht="15.6">
      <c r="A14" s="786"/>
      <c r="B14" s="969" t="s">
        <v>1509</v>
      </c>
      <c r="C14" s="779">
        <v>1</v>
      </c>
      <c r="D14" s="780" t="s">
        <v>44</v>
      </c>
      <c r="E14" s="780" t="s">
        <v>16</v>
      </c>
      <c r="F14" s="788">
        <v>260000</v>
      </c>
      <c r="G14" s="788">
        <f>F14*C14</f>
        <v>260000</v>
      </c>
      <c r="H14" s="971"/>
    </row>
    <row r="15" spans="1:8" ht="15.6">
      <c r="A15" s="786"/>
      <c r="B15" s="778" t="s">
        <v>1512</v>
      </c>
      <c r="C15" s="779"/>
      <c r="D15" s="780"/>
      <c r="E15" s="780"/>
      <c r="F15" s="788"/>
      <c r="G15" s="788"/>
      <c r="H15" s="971"/>
    </row>
    <row r="16" spans="1:8" ht="15.6">
      <c r="A16" s="786"/>
      <c r="B16" s="969"/>
      <c r="C16" s="779"/>
      <c r="D16" s="780"/>
      <c r="E16" s="780"/>
      <c r="F16" s="788"/>
      <c r="G16" s="788"/>
      <c r="H16" s="971"/>
    </row>
    <row r="17" spans="1:8" ht="15.6">
      <c r="A17" s="814"/>
      <c r="B17" s="806"/>
      <c r="C17" s="815"/>
      <c r="D17" s="816"/>
      <c r="E17" s="816"/>
      <c r="F17" s="817"/>
      <c r="G17" s="817"/>
      <c r="H17" s="818">
        <f>SUM(G9:G17)</f>
        <v>2480000</v>
      </c>
    </row>
    <row r="18" spans="1:8" ht="15.6">
      <c r="A18" s="786" t="s">
        <v>18</v>
      </c>
      <c r="B18" s="787" t="s">
        <v>1423</v>
      </c>
      <c r="C18" s="782"/>
      <c r="D18" s="780"/>
      <c r="E18" s="780"/>
      <c r="F18" s="778"/>
      <c r="G18" s="788"/>
      <c r="H18" s="789"/>
    </row>
    <row r="19" spans="1:8" ht="15.6">
      <c r="A19" s="790"/>
      <c r="B19" s="778"/>
      <c r="C19" s="779"/>
      <c r="D19" s="791"/>
      <c r="E19" s="780"/>
      <c r="F19" s="789"/>
      <c r="G19" s="788"/>
      <c r="H19" s="789"/>
    </row>
    <row r="20" spans="1:8" ht="15.6">
      <c r="A20" s="790"/>
      <c r="B20" s="969" t="s">
        <v>1513</v>
      </c>
      <c r="C20" s="779">
        <v>6</v>
      </c>
      <c r="D20" s="780" t="s">
        <v>15</v>
      </c>
      <c r="E20" s="780" t="s">
        <v>51</v>
      </c>
      <c r="F20" s="788">
        <v>50000</v>
      </c>
      <c r="G20" s="788">
        <f>F20*C20</f>
        <v>300000</v>
      </c>
      <c r="H20" s="789"/>
    </row>
    <row r="21" spans="1:8" ht="15.6">
      <c r="A21" s="790"/>
      <c r="B21" s="969" t="s">
        <v>1514</v>
      </c>
      <c r="C21" s="779">
        <v>6</v>
      </c>
      <c r="D21" s="780" t="s">
        <v>15</v>
      </c>
      <c r="E21" s="780" t="s">
        <v>51</v>
      </c>
      <c r="F21" s="788">
        <v>25000</v>
      </c>
      <c r="G21" s="788">
        <f>F21*C21</f>
        <v>150000</v>
      </c>
      <c r="H21" s="789"/>
    </row>
    <row r="22" spans="1:8" ht="15.6">
      <c r="A22" s="790"/>
      <c r="B22" s="969"/>
      <c r="C22" s="779"/>
      <c r="D22" s="780"/>
      <c r="E22" s="780"/>
      <c r="F22" s="788"/>
      <c r="G22" s="788"/>
      <c r="H22" s="789"/>
    </row>
    <row r="23" spans="1:8" ht="15.6">
      <c r="A23" s="790"/>
      <c r="B23" s="777"/>
      <c r="C23" s="788"/>
      <c r="D23" s="780"/>
      <c r="E23" s="780"/>
      <c r="F23" s="788"/>
      <c r="G23" s="788"/>
      <c r="H23" s="789"/>
    </row>
    <row r="24" spans="1:8" ht="15.6">
      <c r="A24" s="793"/>
      <c r="B24" s="783"/>
      <c r="C24" s="794"/>
      <c r="D24" s="795"/>
      <c r="E24" s="811"/>
      <c r="F24" s="811" t="s">
        <v>25</v>
      </c>
      <c r="G24" s="813">
        <f>SUM(G19:G23)</f>
        <v>450000</v>
      </c>
      <c r="H24" s="810"/>
    </row>
    <row r="25" spans="1:8" ht="15.6">
      <c r="A25" s="820"/>
      <c r="B25" s="821"/>
      <c r="C25" s="822"/>
      <c r="D25" s="822"/>
      <c r="E25" s="823"/>
      <c r="F25" s="819" t="s">
        <v>1151</v>
      </c>
      <c r="G25" s="964"/>
      <c r="H25" s="825"/>
    </row>
    <row r="26" spans="1:8" ht="15.6">
      <c r="A26" s="796"/>
      <c r="B26" s="797"/>
      <c r="C26" s="784"/>
      <c r="D26" s="784"/>
      <c r="E26" s="785"/>
      <c r="F26" s="812"/>
      <c r="G26" s="798"/>
      <c r="H26" s="826">
        <f>G24+G25</f>
        <v>450000</v>
      </c>
    </row>
    <row r="27" spans="1:8" ht="15.6">
      <c r="A27" s="820"/>
      <c r="B27" s="821"/>
      <c r="C27" s="822"/>
      <c r="D27" s="822"/>
      <c r="E27" s="823"/>
      <c r="F27" s="819"/>
      <c r="G27" s="824"/>
      <c r="H27" s="827"/>
    </row>
    <row r="28" spans="1:8" ht="15.6">
      <c r="A28" s="799"/>
      <c r="B28" s="800"/>
      <c r="C28" s="800"/>
      <c r="D28" s="800"/>
      <c r="E28" s="800"/>
      <c r="F28" s="801"/>
      <c r="G28" s="828" t="s">
        <v>28</v>
      </c>
      <c r="H28" s="775">
        <f>H26+H17</f>
        <v>2930000</v>
      </c>
    </row>
    <row r="29" spans="1:8" ht="15.6">
      <c r="A29" s="802"/>
      <c r="B29" s="803"/>
      <c r="C29" s="804"/>
      <c r="D29" s="804"/>
      <c r="E29" s="804"/>
      <c r="F29" s="805"/>
      <c r="G29" s="829" t="s">
        <v>30</v>
      </c>
      <c r="H29" s="807">
        <f>ROUND(H28,-3)</f>
        <v>2930000</v>
      </c>
    </row>
    <row r="30" spans="1:8" ht="15.6">
      <c r="A30" s="49"/>
      <c r="B30" s="49"/>
      <c r="C30" s="49"/>
      <c r="D30" s="49"/>
      <c r="E30" s="49"/>
      <c r="F30" s="49"/>
      <c r="G30" s="49"/>
      <c r="H30" s="50"/>
    </row>
    <row r="31" spans="1:8" ht="18">
      <c r="A31" s="768" t="s">
        <v>1150</v>
      </c>
      <c r="B31" s="49"/>
      <c r="C31" s="49"/>
      <c r="D31" s="49"/>
      <c r="E31" s="49"/>
      <c r="F31" s="49"/>
      <c r="G31" s="49"/>
      <c r="H31" s="50"/>
    </row>
    <row r="32" spans="1:8" ht="17.399999999999999">
      <c r="A32" s="49"/>
      <c r="B32" s="965" t="s">
        <v>1515</v>
      </c>
      <c r="C32" s="49"/>
      <c r="D32" s="49"/>
      <c r="E32" s="49"/>
      <c r="F32" s="49"/>
      <c r="G32" s="49"/>
      <c r="H32" s="50"/>
    </row>
    <row r="33" spans="1:8" ht="15.6">
      <c r="A33" s="49"/>
      <c r="B33" s="49"/>
      <c r="C33" s="49"/>
      <c r="D33" s="49"/>
      <c r="E33" s="49"/>
      <c r="F33" s="49"/>
      <c r="G33" s="49"/>
      <c r="H33" s="50"/>
    </row>
    <row r="34" spans="1:8" ht="15.6">
      <c r="A34" s="51"/>
      <c r="B34" s="51"/>
      <c r="C34" s="51"/>
      <c r="D34" s="51"/>
      <c r="E34" s="51"/>
      <c r="F34" s="51"/>
      <c r="G34" s="1509" t="s">
        <v>1505</v>
      </c>
      <c r="H34" s="1509"/>
    </row>
    <row r="35" spans="1:8" ht="15.6">
      <c r="A35" s="1509" t="s">
        <v>31</v>
      </c>
      <c r="B35" s="1509"/>
      <c r="C35" s="1509" t="s">
        <v>32</v>
      </c>
      <c r="D35" s="1509"/>
      <c r="E35" s="1509"/>
      <c r="F35" s="51"/>
      <c r="G35" s="1509" t="s">
        <v>33</v>
      </c>
      <c r="H35" s="1509"/>
    </row>
    <row r="36" spans="1:8" ht="15.6">
      <c r="A36" s="51"/>
      <c r="B36" s="51"/>
      <c r="C36" s="51"/>
      <c r="D36" s="51"/>
      <c r="E36" s="51"/>
      <c r="F36" s="51"/>
      <c r="G36" s="51"/>
      <c r="H36" s="51"/>
    </row>
    <row r="37" spans="1:8" ht="15.6">
      <c r="A37" s="51"/>
      <c r="B37" s="51"/>
      <c r="C37" s="51"/>
      <c r="D37" s="51"/>
      <c r="E37" s="51"/>
      <c r="F37" s="51"/>
      <c r="G37" s="51"/>
      <c r="H37" s="51"/>
    </row>
    <row r="38" spans="1:8" ht="15.6">
      <c r="A38" s="51"/>
      <c r="B38" s="51"/>
      <c r="C38" s="51"/>
      <c r="D38" s="51"/>
      <c r="E38" s="51"/>
      <c r="F38" s="51"/>
      <c r="G38" s="51"/>
      <c r="H38" s="51"/>
    </row>
    <row r="39" spans="1:8" ht="15.6">
      <c r="A39" s="1512" t="s">
        <v>34</v>
      </c>
      <c r="B39" s="1512"/>
      <c r="C39" s="1512" t="s">
        <v>35</v>
      </c>
      <c r="D39" s="1512"/>
      <c r="E39" s="1512"/>
      <c r="F39" s="51"/>
      <c r="G39" s="1512" t="s">
        <v>36</v>
      </c>
      <c r="H39" s="1512"/>
    </row>
    <row r="40" spans="1:8" ht="15.6">
      <c r="A40" s="1509" t="s">
        <v>37</v>
      </c>
      <c r="B40" s="1509"/>
      <c r="C40" s="1509" t="s">
        <v>38</v>
      </c>
      <c r="D40" s="1509"/>
      <c r="E40" s="1509"/>
      <c r="F40" s="51"/>
      <c r="G40" s="1509" t="s">
        <v>39</v>
      </c>
      <c r="H40" s="1509"/>
    </row>
    <row r="41" spans="1:8" ht="15.6">
      <c r="A41" s="808"/>
      <c r="B41" s="808"/>
      <c r="C41" s="808"/>
      <c r="D41" s="808"/>
      <c r="E41" s="808"/>
      <c r="F41" s="808"/>
      <c r="G41" s="808"/>
      <c r="H41" s="808"/>
    </row>
    <row r="43" spans="1:8" ht="28.8">
      <c r="A43" s="597"/>
      <c r="B43" s="597"/>
      <c r="C43" s="1513" t="s">
        <v>235</v>
      </c>
      <c r="D43" s="1513"/>
      <c r="E43" s="1513"/>
      <c r="F43" s="1513"/>
      <c r="G43" s="1513"/>
      <c r="H43" s="1513"/>
    </row>
    <row r="44" spans="1:8" ht="28.8">
      <c r="A44" s="597"/>
      <c r="B44" s="597"/>
      <c r="C44" s="1541" t="s">
        <v>1471</v>
      </c>
      <c r="D44" s="1541"/>
      <c r="E44" s="1541"/>
      <c r="F44" s="1541"/>
      <c r="G44" s="1541"/>
      <c r="H44" s="1541"/>
    </row>
    <row r="45" spans="1:8" ht="23.4">
      <c r="A45" s="830"/>
      <c r="B45" s="830"/>
      <c r="C45" s="1537" t="s">
        <v>1470</v>
      </c>
      <c r="D45" s="1537"/>
      <c r="E45" s="1537"/>
      <c r="F45" s="1537"/>
      <c r="G45" s="1537"/>
      <c r="H45" s="1537"/>
    </row>
    <row r="46" spans="1:8" ht="15.6">
      <c r="A46" s="769"/>
      <c r="B46" s="769"/>
      <c r="C46" s="769"/>
      <c r="D46" s="769"/>
      <c r="E46" s="769"/>
      <c r="F46" s="769"/>
      <c r="G46" s="769"/>
      <c r="H46" s="769"/>
    </row>
    <row r="47" spans="1:8" ht="15.6">
      <c r="A47" s="769"/>
      <c r="B47" s="769"/>
      <c r="C47" s="769"/>
      <c r="D47" s="769"/>
      <c r="E47" s="769"/>
      <c r="F47" s="769"/>
      <c r="G47" s="769"/>
      <c r="H47" s="769"/>
    </row>
    <row r="48" spans="1:8" ht="15.6">
      <c r="A48" s="1516" t="s">
        <v>3</v>
      </c>
      <c r="B48" s="1516" t="s">
        <v>4</v>
      </c>
      <c r="C48" s="1516" t="s">
        <v>5</v>
      </c>
      <c r="D48" s="1516" t="s">
        <v>6</v>
      </c>
      <c r="E48" s="1516" t="s">
        <v>7</v>
      </c>
      <c r="F48" s="770" t="s">
        <v>8</v>
      </c>
      <c r="G48" s="770" t="s">
        <v>9</v>
      </c>
      <c r="H48" s="770" t="s">
        <v>10</v>
      </c>
    </row>
    <row r="49" spans="1:8" ht="15.6">
      <c r="A49" s="1517"/>
      <c r="B49" s="1517"/>
      <c r="C49" s="1517"/>
      <c r="D49" s="1517"/>
      <c r="E49" s="1517"/>
      <c r="F49" s="771" t="s">
        <v>11</v>
      </c>
      <c r="G49" s="771" t="s">
        <v>11</v>
      </c>
      <c r="H49" s="771" t="s">
        <v>11</v>
      </c>
    </row>
    <row r="50" spans="1:8" ht="15.6">
      <c r="A50" s="770" t="s">
        <v>12</v>
      </c>
      <c r="B50" s="772" t="s">
        <v>364</v>
      </c>
      <c r="C50" s="773"/>
      <c r="D50" s="774"/>
      <c r="E50" s="774"/>
      <c r="F50" s="774"/>
      <c r="G50" s="775"/>
      <c r="H50" s="776"/>
    </row>
    <row r="51" spans="1:8" ht="15.6">
      <c r="A51" s="786"/>
      <c r="B51" s="969" t="s">
        <v>1472</v>
      </c>
      <c r="C51" s="779">
        <v>1</v>
      </c>
      <c r="D51" s="780" t="s">
        <v>44</v>
      </c>
      <c r="E51" s="780" t="s">
        <v>16</v>
      </c>
      <c r="F51" s="989">
        <v>8500000</v>
      </c>
      <c r="G51" s="989">
        <f>F51*C51</f>
        <v>8500000</v>
      </c>
      <c r="H51" s="971"/>
    </row>
    <row r="52" spans="1:8" ht="15.6">
      <c r="A52" s="786"/>
      <c r="B52" s="778" t="s">
        <v>1473</v>
      </c>
      <c r="C52" s="779"/>
      <c r="D52" s="780"/>
      <c r="E52" s="780"/>
      <c r="F52" s="990"/>
      <c r="G52" s="991"/>
      <c r="H52" s="971"/>
    </row>
    <row r="53" spans="1:8" ht="15.6">
      <c r="A53" s="786"/>
      <c r="B53" s="969" t="s">
        <v>1474</v>
      </c>
      <c r="C53" s="779">
        <v>2</v>
      </c>
      <c r="D53" s="780" t="s">
        <v>44</v>
      </c>
      <c r="E53" s="780" t="s">
        <v>16</v>
      </c>
      <c r="F53" s="989">
        <v>4300000</v>
      </c>
      <c r="G53" s="989">
        <f>F53*C53</f>
        <v>8600000</v>
      </c>
      <c r="H53" s="971"/>
    </row>
    <row r="54" spans="1:8" ht="15.6">
      <c r="A54" s="786"/>
      <c r="B54" s="778" t="s">
        <v>1475</v>
      </c>
      <c r="C54" s="779"/>
      <c r="D54" s="780"/>
      <c r="E54" s="780"/>
      <c r="F54" s="990"/>
      <c r="G54" s="991"/>
      <c r="H54" s="971"/>
    </row>
    <row r="55" spans="1:8" ht="15.6">
      <c r="A55" s="786"/>
      <c r="B55" s="969" t="s">
        <v>1476</v>
      </c>
      <c r="C55" s="779">
        <v>2</v>
      </c>
      <c r="D55" s="780" t="s">
        <v>47</v>
      </c>
      <c r="E55" s="780" t="s">
        <v>82</v>
      </c>
      <c r="F55" s="989">
        <v>132000</v>
      </c>
      <c r="G55" s="989">
        <f>F55*C55</f>
        <v>264000</v>
      </c>
      <c r="H55" s="971"/>
    </row>
    <row r="56" spans="1:8" ht="15.6">
      <c r="A56" s="786"/>
      <c r="B56" s="969" t="s">
        <v>1477</v>
      </c>
      <c r="C56" s="779">
        <v>1</v>
      </c>
      <c r="D56" s="780" t="s">
        <v>47</v>
      </c>
      <c r="E56" s="780" t="s">
        <v>16</v>
      </c>
      <c r="F56" s="989">
        <v>238242</v>
      </c>
      <c r="G56" s="989">
        <f>F56*C56</f>
        <v>238242</v>
      </c>
      <c r="H56" s="971"/>
    </row>
    <row r="57" spans="1:8" ht="15.6">
      <c r="A57" s="786"/>
      <c r="B57" s="969" t="s">
        <v>1478</v>
      </c>
      <c r="C57" s="779">
        <v>2</v>
      </c>
      <c r="D57" s="780" t="s">
        <v>44</v>
      </c>
      <c r="E57" s="780" t="s">
        <v>82</v>
      </c>
      <c r="F57" s="989">
        <v>130700</v>
      </c>
      <c r="G57" s="989">
        <f>F57*C57</f>
        <v>261400</v>
      </c>
      <c r="H57" s="971"/>
    </row>
    <row r="58" spans="1:8" ht="15.6">
      <c r="A58" s="814"/>
      <c r="B58" s="806"/>
      <c r="C58" s="815"/>
      <c r="D58" s="816"/>
      <c r="E58" s="816"/>
      <c r="F58" s="992"/>
      <c r="G58" s="992"/>
      <c r="H58" s="818">
        <f>SUM(G50:G58)</f>
        <v>17863642</v>
      </c>
    </row>
    <row r="59" spans="1:8" ht="15.6">
      <c r="A59" s="786" t="s">
        <v>18</v>
      </c>
      <c r="B59" s="787" t="s">
        <v>1423</v>
      </c>
      <c r="C59" s="782"/>
      <c r="D59" s="780"/>
      <c r="E59" s="780"/>
      <c r="F59" s="993"/>
      <c r="G59" s="989"/>
      <c r="H59" s="789"/>
    </row>
    <row r="60" spans="1:8" ht="15.6">
      <c r="A60" s="790"/>
      <c r="B60" s="778"/>
      <c r="C60" s="779"/>
      <c r="D60" s="791"/>
      <c r="E60" s="780"/>
      <c r="F60" s="993"/>
      <c r="G60" s="989"/>
      <c r="H60" s="789"/>
    </row>
    <row r="61" spans="1:8" ht="15.6">
      <c r="A61" s="790"/>
      <c r="B61" s="969" t="s">
        <v>1479</v>
      </c>
      <c r="C61" s="779">
        <v>2</v>
      </c>
      <c r="D61" s="780" t="s">
        <v>15</v>
      </c>
      <c r="E61" s="780" t="s">
        <v>82</v>
      </c>
      <c r="F61" s="989">
        <v>244410</v>
      </c>
      <c r="G61" s="989">
        <f>F61*C61</f>
        <v>488820</v>
      </c>
      <c r="H61" s="789"/>
    </row>
    <row r="62" spans="1:8" ht="15.6">
      <c r="A62" s="790"/>
      <c r="B62" s="969" t="s">
        <v>1480</v>
      </c>
      <c r="C62" s="779">
        <v>2</v>
      </c>
      <c r="D62" s="780" t="s">
        <v>15</v>
      </c>
      <c r="E62" s="780" t="s">
        <v>82</v>
      </c>
      <c r="F62" s="989">
        <v>244410</v>
      </c>
      <c r="G62" s="989">
        <f>F62*C62</f>
        <v>488820</v>
      </c>
      <c r="H62" s="789"/>
    </row>
    <row r="63" spans="1:8" ht="15.6">
      <c r="A63" s="790"/>
      <c r="B63" s="969" t="s">
        <v>1481</v>
      </c>
      <c r="C63" s="988">
        <v>2826</v>
      </c>
      <c r="D63" s="780" t="s">
        <v>47</v>
      </c>
      <c r="E63" s="780" t="s">
        <v>82</v>
      </c>
      <c r="F63" s="989">
        <v>73615</v>
      </c>
      <c r="G63" s="989">
        <f>F63*C63/1000</f>
        <v>208035.99</v>
      </c>
      <c r="H63" s="789"/>
    </row>
    <row r="64" spans="1:8" ht="15.6">
      <c r="A64" s="790"/>
      <c r="B64" s="969" t="s">
        <v>1482</v>
      </c>
      <c r="C64" s="994">
        <v>1884</v>
      </c>
      <c r="D64" s="780" t="s">
        <v>47</v>
      </c>
      <c r="E64" s="780" t="s">
        <v>82</v>
      </c>
      <c r="F64" s="989">
        <v>227584.56</v>
      </c>
      <c r="G64" s="989">
        <f>F64*C64/1000</f>
        <v>428769.31104</v>
      </c>
      <c r="H64" s="789"/>
    </row>
    <row r="65" spans="1:8" ht="15.6">
      <c r="A65" s="790"/>
      <c r="B65" s="969" t="s">
        <v>1483</v>
      </c>
      <c r="C65" s="779">
        <v>4</v>
      </c>
      <c r="D65" s="780" t="s">
        <v>47</v>
      </c>
      <c r="E65" s="780" t="s">
        <v>82</v>
      </c>
      <c r="F65" s="989">
        <v>227584.56</v>
      </c>
      <c r="G65" s="989">
        <f>F65*C65</f>
        <v>910338.24</v>
      </c>
      <c r="H65" s="789"/>
    </row>
    <row r="66" spans="1:8" ht="15.6">
      <c r="A66" s="790"/>
      <c r="B66" s="969" t="s">
        <v>1484</v>
      </c>
      <c r="C66" s="779">
        <v>2</v>
      </c>
      <c r="D66" s="780" t="s">
        <v>21</v>
      </c>
      <c r="E66" s="780" t="s">
        <v>51</v>
      </c>
      <c r="F66" s="989">
        <v>150000</v>
      </c>
      <c r="G66" s="989">
        <f>F66*C66</f>
        <v>300000</v>
      </c>
      <c r="H66" s="789"/>
    </row>
    <row r="67" spans="1:8" ht="15.6">
      <c r="A67" s="790"/>
      <c r="B67" s="778"/>
      <c r="C67" s="779"/>
      <c r="D67" s="780"/>
      <c r="E67" s="780"/>
      <c r="F67" s="989"/>
      <c r="G67" s="989"/>
      <c r="H67" s="789"/>
    </row>
    <row r="68" spans="1:8" ht="15.6">
      <c r="A68" s="790"/>
      <c r="B68" s="777"/>
      <c r="C68" s="788"/>
      <c r="D68" s="780"/>
      <c r="E68" s="780"/>
      <c r="F68" s="788"/>
      <c r="G68" s="788"/>
      <c r="H68" s="789"/>
    </row>
    <row r="69" spans="1:8" ht="15.6">
      <c r="A69" s="793"/>
      <c r="B69" s="783"/>
      <c r="C69" s="794"/>
      <c r="D69" s="795"/>
      <c r="E69" s="811"/>
      <c r="F69" s="811" t="s">
        <v>25</v>
      </c>
      <c r="G69" s="813">
        <f>SUM(G60:G68)</f>
        <v>2824783.54104</v>
      </c>
      <c r="H69" s="810"/>
    </row>
    <row r="70" spans="1:8" ht="15.6">
      <c r="A70" s="820"/>
      <c r="B70" s="821"/>
      <c r="C70" s="822"/>
      <c r="D70" s="822"/>
      <c r="E70" s="823"/>
      <c r="F70" s="819" t="s">
        <v>1151</v>
      </c>
      <c r="G70" s="964">
        <f>G69/10</f>
        <v>282478.35410400003</v>
      </c>
      <c r="H70" s="825"/>
    </row>
    <row r="71" spans="1:8" ht="15.6">
      <c r="A71" s="796"/>
      <c r="B71" s="797"/>
      <c r="C71" s="784"/>
      <c r="D71" s="784"/>
      <c r="E71" s="785"/>
      <c r="F71" s="812"/>
      <c r="G71" s="798"/>
      <c r="H71" s="826">
        <f>G69+G70</f>
        <v>3107261.8951440002</v>
      </c>
    </row>
    <row r="72" spans="1:8" ht="15.6">
      <c r="A72" s="820"/>
      <c r="B72" s="821"/>
      <c r="C72" s="822"/>
      <c r="D72" s="822"/>
      <c r="E72" s="823"/>
      <c r="F72" s="819"/>
      <c r="G72" s="824"/>
      <c r="H72" s="827"/>
    </row>
    <row r="73" spans="1:8" ht="15.6">
      <c r="A73" s="799"/>
      <c r="B73" s="800"/>
      <c r="C73" s="800"/>
      <c r="D73" s="800"/>
      <c r="E73" s="800"/>
      <c r="F73" s="801"/>
      <c r="G73" s="828" t="s">
        <v>28</v>
      </c>
      <c r="H73" s="775">
        <f>H71+H58</f>
        <v>20970903.895144001</v>
      </c>
    </row>
    <row r="74" spans="1:8" ht="15.6">
      <c r="A74" s="802"/>
      <c r="B74" s="803"/>
      <c r="C74" s="804"/>
      <c r="D74" s="804"/>
      <c r="E74" s="804"/>
      <c r="F74" s="805"/>
      <c r="G74" s="829" t="s">
        <v>30</v>
      </c>
      <c r="H74" s="807">
        <f>ROUND(H73,-3)</f>
        <v>20971000</v>
      </c>
    </row>
    <row r="75" spans="1:8" ht="15.6">
      <c r="A75" s="49"/>
      <c r="B75" s="49"/>
      <c r="C75" s="49"/>
      <c r="D75" s="49"/>
      <c r="E75" s="49"/>
      <c r="F75" s="49"/>
      <c r="G75" s="49"/>
      <c r="H75" s="50"/>
    </row>
    <row r="76" spans="1:8" ht="18">
      <c r="A76" s="768" t="s">
        <v>1150</v>
      </c>
      <c r="B76" s="49"/>
      <c r="C76" s="49"/>
      <c r="D76" s="49"/>
      <c r="E76" s="49"/>
      <c r="F76" s="49"/>
      <c r="G76" s="49"/>
      <c r="H76" s="50"/>
    </row>
    <row r="77" spans="1:8" ht="17.399999999999999">
      <c r="A77" s="49"/>
      <c r="B77" s="965" t="s">
        <v>1563</v>
      </c>
      <c r="C77" s="49"/>
      <c r="D77" s="49"/>
      <c r="E77" s="49"/>
      <c r="F77" s="49"/>
      <c r="G77" s="49"/>
      <c r="H77" s="50"/>
    </row>
    <row r="78" spans="1:8" ht="15.6">
      <c r="A78" s="49"/>
      <c r="B78" s="49"/>
      <c r="C78" s="49"/>
      <c r="D78" s="49"/>
      <c r="E78" s="49"/>
      <c r="F78" s="49"/>
      <c r="G78" s="49"/>
      <c r="H78" s="50"/>
    </row>
    <row r="79" spans="1:8" ht="15.6">
      <c r="A79" s="51"/>
      <c r="B79" s="51"/>
      <c r="C79" s="51"/>
      <c r="D79" s="51"/>
      <c r="E79" s="51"/>
      <c r="F79" s="51"/>
      <c r="G79" s="1509" t="s">
        <v>1562</v>
      </c>
      <c r="H79" s="1509"/>
    </row>
    <row r="80" spans="1:8" ht="15.6">
      <c r="A80" s="1509" t="s">
        <v>31</v>
      </c>
      <c r="B80" s="1509"/>
      <c r="C80" s="1509" t="s">
        <v>32</v>
      </c>
      <c r="D80" s="1509"/>
      <c r="E80" s="1509"/>
      <c r="F80" s="51"/>
      <c r="G80" s="1509" t="s">
        <v>33</v>
      </c>
      <c r="H80" s="1509"/>
    </row>
    <row r="81" spans="1:8" ht="15.6">
      <c r="A81" s="51"/>
      <c r="B81" s="51"/>
      <c r="C81" s="51"/>
      <c r="D81" s="51"/>
      <c r="E81" s="51"/>
      <c r="F81" s="51"/>
      <c r="G81" s="51"/>
      <c r="H81" s="51"/>
    </row>
    <row r="82" spans="1:8" ht="15.6">
      <c r="A82" s="51"/>
      <c r="B82" s="51"/>
      <c r="C82" s="51"/>
      <c r="D82" s="51"/>
      <c r="E82" s="51"/>
      <c r="F82" s="51"/>
      <c r="G82" s="51"/>
      <c r="H82" s="51"/>
    </row>
    <row r="83" spans="1:8" ht="15.6">
      <c r="A83" s="51"/>
      <c r="B83" s="51"/>
      <c r="C83" s="51"/>
      <c r="D83" s="51"/>
      <c r="E83" s="51"/>
      <c r="F83" s="51"/>
      <c r="G83" s="51"/>
      <c r="H83" s="51"/>
    </row>
    <row r="84" spans="1:8" ht="15.6">
      <c r="A84" s="1512" t="s">
        <v>34</v>
      </c>
      <c r="B84" s="1512"/>
      <c r="C84" s="1512" t="s">
        <v>35</v>
      </c>
      <c r="D84" s="1512"/>
      <c r="E84" s="1512"/>
      <c r="F84" s="51"/>
      <c r="G84" s="1512" t="s">
        <v>36</v>
      </c>
      <c r="H84" s="1512"/>
    </row>
    <row r="85" spans="1:8" ht="15.6">
      <c r="A85" s="1509" t="s">
        <v>37</v>
      </c>
      <c r="B85" s="1509"/>
      <c r="C85" s="1509" t="s">
        <v>38</v>
      </c>
      <c r="D85" s="1509"/>
      <c r="E85" s="1509"/>
      <c r="F85" s="51"/>
      <c r="G85" s="1509" t="s">
        <v>39</v>
      </c>
      <c r="H85" s="1509"/>
    </row>
    <row r="86" spans="1:8" ht="15.6">
      <c r="A86" s="808"/>
      <c r="B86" s="808"/>
      <c r="C86" s="808"/>
      <c r="D86" s="808"/>
      <c r="E86" s="808"/>
      <c r="F86" s="808"/>
      <c r="G86" s="808"/>
      <c r="H86" s="808"/>
    </row>
    <row r="91" spans="1:8" ht="28.8">
      <c r="A91" s="597"/>
      <c r="B91" s="597"/>
      <c r="C91" s="1513" t="s">
        <v>235</v>
      </c>
      <c r="D91" s="1513"/>
      <c r="E91" s="1513"/>
      <c r="F91" s="1513"/>
      <c r="G91" s="1513"/>
      <c r="H91" s="1513"/>
    </row>
    <row r="92" spans="1:8" ht="28.8">
      <c r="A92" s="597"/>
      <c r="B92" s="597"/>
      <c r="C92" s="1513" t="s">
        <v>1420</v>
      </c>
      <c r="D92" s="1513"/>
      <c r="E92" s="1513"/>
      <c r="F92" s="1513"/>
      <c r="G92" s="1513"/>
      <c r="H92" s="1513"/>
    </row>
    <row r="93" spans="1:8" ht="21">
      <c r="A93" s="830"/>
      <c r="B93" s="830"/>
      <c r="C93" s="1535" t="s">
        <v>466</v>
      </c>
      <c r="D93" s="1535"/>
      <c r="E93" s="1535"/>
      <c r="F93" s="1535"/>
      <c r="G93" s="1535"/>
      <c r="H93" s="1535"/>
    </row>
    <row r="94" spans="1:8" ht="15.6">
      <c r="A94" s="769"/>
      <c r="B94" s="769"/>
      <c r="C94" s="769"/>
      <c r="D94" s="769"/>
      <c r="E94" s="769"/>
      <c r="F94" s="769"/>
      <c r="G94" s="769"/>
      <c r="H94" s="769"/>
    </row>
    <row r="95" spans="1:8" ht="15.6">
      <c r="A95" s="769"/>
      <c r="B95" s="769"/>
      <c r="C95" s="769"/>
      <c r="D95" s="769"/>
      <c r="E95" s="769"/>
      <c r="F95" s="769"/>
      <c r="G95" s="769"/>
      <c r="H95" s="769"/>
    </row>
    <row r="96" spans="1:8" ht="15.6">
      <c r="A96" s="1516" t="s">
        <v>3</v>
      </c>
      <c r="B96" s="1516" t="s">
        <v>4</v>
      </c>
      <c r="C96" s="1516" t="s">
        <v>5</v>
      </c>
      <c r="D96" s="1516" t="s">
        <v>6</v>
      </c>
      <c r="E96" s="1516" t="s">
        <v>7</v>
      </c>
      <c r="F96" s="770" t="s">
        <v>8</v>
      </c>
      <c r="G96" s="770" t="s">
        <v>9</v>
      </c>
      <c r="H96" s="770" t="s">
        <v>10</v>
      </c>
    </row>
    <row r="97" spans="1:8" ht="15.6">
      <c r="A97" s="1517"/>
      <c r="B97" s="1517"/>
      <c r="C97" s="1517"/>
      <c r="D97" s="1517"/>
      <c r="E97" s="1517"/>
      <c r="F97" s="771" t="s">
        <v>11</v>
      </c>
      <c r="G97" s="771" t="s">
        <v>11</v>
      </c>
      <c r="H97" s="771" t="s">
        <v>11</v>
      </c>
    </row>
    <row r="98" spans="1:8" ht="15.6">
      <c r="A98" s="770" t="s">
        <v>12</v>
      </c>
      <c r="B98" s="772" t="s">
        <v>364</v>
      </c>
      <c r="C98" s="773"/>
      <c r="D98" s="774"/>
      <c r="E98" s="774"/>
      <c r="F98" s="774"/>
      <c r="G98" s="775"/>
      <c r="H98" s="776"/>
    </row>
    <row r="99" spans="1:8" ht="15.6">
      <c r="A99" s="786"/>
      <c r="B99" s="969" t="s">
        <v>1421</v>
      </c>
      <c r="C99" s="779">
        <v>1</v>
      </c>
      <c r="D99" s="780" t="s">
        <v>15</v>
      </c>
      <c r="E99" s="780" t="s">
        <v>1141</v>
      </c>
      <c r="F99" s="777"/>
      <c r="G99" s="970"/>
      <c r="H99" s="971"/>
    </row>
    <row r="100" spans="1:8" ht="15.6">
      <c r="A100" s="786"/>
      <c r="B100" s="969" t="s">
        <v>1043</v>
      </c>
      <c r="C100" s="779">
        <v>0.5</v>
      </c>
      <c r="D100" s="780" t="s">
        <v>245</v>
      </c>
      <c r="E100" s="780" t="s">
        <v>1141</v>
      </c>
      <c r="F100" s="777"/>
      <c r="G100" s="970"/>
      <c r="H100" s="971"/>
    </row>
    <row r="101" spans="1:8" ht="15.6">
      <c r="A101" s="814"/>
      <c r="B101" s="806"/>
      <c r="C101" s="815"/>
      <c r="D101" s="816"/>
      <c r="E101" s="816"/>
      <c r="F101" s="817"/>
      <c r="G101" s="817"/>
      <c r="H101" s="818">
        <f>SUM(G98:G101)</f>
        <v>0</v>
      </c>
    </row>
    <row r="102" spans="1:8" ht="15.6">
      <c r="A102" s="786" t="s">
        <v>18</v>
      </c>
      <c r="B102" s="787" t="s">
        <v>1423</v>
      </c>
      <c r="C102" s="782"/>
      <c r="D102" s="780"/>
      <c r="E102" s="780"/>
      <c r="F102" s="778"/>
      <c r="G102" s="788"/>
      <c r="H102" s="789"/>
    </row>
    <row r="103" spans="1:8" ht="15.6">
      <c r="A103" s="790"/>
      <c r="B103" s="778"/>
      <c r="C103" s="779"/>
      <c r="D103" s="791"/>
      <c r="E103" s="780"/>
      <c r="F103" s="789"/>
      <c r="G103" s="788"/>
      <c r="H103" s="789"/>
    </row>
    <row r="104" spans="1:8" ht="15.6">
      <c r="A104" s="790"/>
      <c r="B104" s="969" t="s">
        <v>1422</v>
      </c>
      <c r="C104" s="779">
        <v>1</v>
      </c>
      <c r="D104" s="780" t="s">
        <v>15</v>
      </c>
      <c r="E104" s="780" t="s">
        <v>82</v>
      </c>
      <c r="F104" s="788">
        <v>648855</v>
      </c>
      <c r="G104" s="788">
        <f>F104*C104</f>
        <v>648855</v>
      </c>
      <c r="H104" s="789"/>
    </row>
    <row r="105" spans="1:8" ht="15.6">
      <c r="A105" s="790"/>
      <c r="B105" s="969" t="s">
        <v>1424</v>
      </c>
      <c r="C105" s="779">
        <v>1</v>
      </c>
      <c r="D105" s="780" t="s">
        <v>15</v>
      </c>
      <c r="E105" s="780" t="s">
        <v>82</v>
      </c>
      <c r="F105" s="788">
        <v>648855</v>
      </c>
      <c r="G105" s="788">
        <f>F105*C105</f>
        <v>648855</v>
      </c>
      <c r="H105" s="789"/>
    </row>
    <row r="106" spans="1:8" ht="15.6">
      <c r="A106" s="790"/>
      <c r="B106" s="969" t="s">
        <v>1425</v>
      </c>
      <c r="C106" s="779">
        <v>1</v>
      </c>
      <c r="D106" s="780" t="s">
        <v>15</v>
      </c>
      <c r="E106" s="780" t="s">
        <v>51</v>
      </c>
      <c r="F106" s="788">
        <v>150000</v>
      </c>
      <c r="G106" s="788">
        <f>F106*C106</f>
        <v>150000</v>
      </c>
      <c r="H106" s="789"/>
    </row>
    <row r="107" spans="1:8" ht="15.6">
      <c r="A107" s="790"/>
      <c r="B107" s="969" t="s">
        <v>1510</v>
      </c>
      <c r="C107" s="779">
        <v>1</v>
      </c>
      <c r="D107" s="780" t="s">
        <v>15</v>
      </c>
      <c r="E107" s="780" t="s">
        <v>82</v>
      </c>
      <c r="F107" s="788">
        <v>281745</v>
      </c>
      <c r="G107" s="788">
        <f>F107*C107</f>
        <v>281745</v>
      </c>
      <c r="H107" s="789"/>
    </row>
    <row r="108" spans="1:8" ht="15.6">
      <c r="A108" s="790"/>
      <c r="B108" s="778"/>
      <c r="C108" s="779"/>
      <c r="D108" s="780"/>
      <c r="E108" s="780"/>
      <c r="F108" s="788"/>
      <c r="G108" s="788"/>
      <c r="H108" s="789"/>
    </row>
    <row r="109" spans="1:8" ht="15.6">
      <c r="A109" s="790"/>
      <c r="B109" s="778"/>
      <c r="C109" s="779"/>
      <c r="D109" s="780"/>
      <c r="E109" s="780"/>
      <c r="F109" s="788"/>
      <c r="G109" s="788"/>
      <c r="H109" s="789"/>
    </row>
    <row r="110" spans="1:8" ht="15.6">
      <c r="A110" s="790"/>
      <c r="B110" s="778"/>
      <c r="C110" s="779"/>
      <c r="D110" s="780"/>
      <c r="E110" s="780"/>
      <c r="F110" s="788"/>
      <c r="G110" s="788"/>
      <c r="H110" s="789"/>
    </row>
    <row r="111" spans="1:8" ht="15.6">
      <c r="A111" s="790"/>
      <c r="B111" s="777"/>
      <c r="C111" s="788"/>
      <c r="D111" s="780"/>
      <c r="E111" s="780"/>
      <c r="F111" s="788"/>
      <c r="G111" s="788"/>
      <c r="H111" s="789"/>
    </row>
    <row r="112" spans="1:8" ht="15.6">
      <c r="A112" s="793"/>
      <c r="B112" s="783"/>
      <c r="C112" s="794"/>
      <c r="D112" s="795"/>
      <c r="E112" s="811"/>
      <c r="F112" s="811" t="s">
        <v>25</v>
      </c>
      <c r="G112" s="813">
        <f>SUM(G103:G111)</f>
        <v>1729455</v>
      </c>
      <c r="H112" s="810"/>
    </row>
    <row r="113" spans="1:8" ht="15.6">
      <c r="A113" s="820"/>
      <c r="B113" s="821"/>
      <c r="C113" s="822"/>
      <c r="D113" s="822"/>
      <c r="E113" s="823"/>
      <c r="F113" s="819" t="s">
        <v>1151</v>
      </c>
      <c r="G113" s="964"/>
      <c r="H113" s="825"/>
    </row>
    <row r="114" spans="1:8" ht="15.6">
      <c r="A114" s="796"/>
      <c r="B114" s="797"/>
      <c r="C114" s="784"/>
      <c r="D114" s="784"/>
      <c r="E114" s="785"/>
      <c r="F114" s="812"/>
      <c r="G114" s="798"/>
      <c r="H114" s="826">
        <f>G112+G113</f>
        <v>1729455</v>
      </c>
    </row>
    <row r="115" spans="1:8" ht="15.6">
      <c r="A115" s="820"/>
      <c r="B115" s="821"/>
      <c r="C115" s="822"/>
      <c r="D115" s="822"/>
      <c r="E115" s="823"/>
      <c r="F115" s="819"/>
      <c r="G115" s="824"/>
      <c r="H115" s="827"/>
    </row>
    <row r="116" spans="1:8" ht="15.6">
      <c r="A116" s="799"/>
      <c r="B116" s="800"/>
      <c r="C116" s="800"/>
      <c r="D116" s="800"/>
      <c r="E116" s="800"/>
      <c r="F116" s="801"/>
      <c r="G116" s="828" t="s">
        <v>28</v>
      </c>
      <c r="H116" s="775">
        <f>H114+H101</f>
        <v>1729455</v>
      </c>
    </row>
    <row r="117" spans="1:8" ht="15.6">
      <c r="A117" s="802"/>
      <c r="B117" s="803"/>
      <c r="C117" s="804"/>
      <c r="D117" s="804"/>
      <c r="E117" s="804"/>
      <c r="F117" s="805"/>
      <c r="G117" s="829" t="s">
        <v>30</v>
      </c>
      <c r="H117" s="807">
        <f>ROUND(H116,-3)</f>
        <v>1729000</v>
      </c>
    </row>
    <row r="118" spans="1:8" ht="15.6">
      <c r="A118" s="49"/>
      <c r="B118" s="49"/>
      <c r="C118" s="49"/>
      <c r="D118" s="49"/>
      <c r="E118" s="49"/>
      <c r="F118" s="49"/>
      <c r="G118" s="49"/>
      <c r="H118" s="50"/>
    </row>
    <row r="119" spans="1:8" ht="18">
      <c r="A119" s="768" t="s">
        <v>1150</v>
      </c>
      <c r="B119" s="49"/>
      <c r="C119" s="49"/>
      <c r="D119" s="49"/>
      <c r="E119" s="49"/>
      <c r="F119" s="49"/>
      <c r="G119" s="49"/>
      <c r="H119" s="50"/>
    </row>
    <row r="120" spans="1:8" ht="17.399999999999999">
      <c r="A120" s="49"/>
      <c r="B120" s="965" t="s">
        <v>1511</v>
      </c>
      <c r="C120" s="49"/>
      <c r="D120" s="49"/>
      <c r="E120" s="49"/>
      <c r="F120" s="49"/>
      <c r="G120" s="49"/>
      <c r="H120" s="50"/>
    </row>
    <row r="121" spans="1:8" ht="15.6">
      <c r="A121" s="49"/>
      <c r="B121" s="49"/>
      <c r="C121" s="49"/>
      <c r="D121" s="49"/>
      <c r="E121" s="49"/>
      <c r="F121" s="49"/>
      <c r="G121" s="49"/>
      <c r="H121" s="50"/>
    </row>
    <row r="122" spans="1:8" ht="15.6">
      <c r="A122" s="51"/>
      <c r="B122" s="51"/>
      <c r="C122" s="51"/>
      <c r="D122" s="51"/>
      <c r="E122" s="51"/>
      <c r="F122" s="51"/>
      <c r="G122" s="1509" t="s">
        <v>1505</v>
      </c>
      <c r="H122" s="1509"/>
    </row>
    <row r="123" spans="1:8" ht="15.6">
      <c r="A123" s="1509" t="s">
        <v>31</v>
      </c>
      <c r="B123" s="1509"/>
      <c r="C123" s="1509" t="s">
        <v>32</v>
      </c>
      <c r="D123" s="1509"/>
      <c r="E123" s="1509"/>
      <c r="F123" s="51"/>
      <c r="G123" s="1509" t="s">
        <v>33</v>
      </c>
      <c r="H123" s="1509"/>
    </row>
    <row r="124" spans="1:8" ht="15.6">
      <c r="A124" s="51"/>
      <c r="B124" s="51"/>
      <c r="C124" s="51"/>
      <c r="D124" s="51"/>
      <c r="E124" s="51"/>
      <c r="F124" s="51"/>
      <c r="G124" s="51"/>
      <c r="H124" s="51"/>
    </row>
    <row r="125" spans="1:8" ht="15.6">
      <c r="A125" s="51"/>
      <c r="B125" s="51"/>
      <c r="C125" s="51"/>
      <c r="D125" s="51"/>
      <c r="E125" s="51"/>
      <c r="F125" s="51"/>
      <c r="G125" s="51"/>
      <c r="H125" s="51"/>
    </row>
    <row r="126" spans="1:8" ht="15.6">
      <c r="A126" s="51"/>
      <c r="B126" s="51"/>
      <c r="C126" s="51"/>
      <c r="D126" s="51"/>
      <c r="E126" s="51"/>
      <c r="F126" s="51"/>
      <c r="G126" s="51"/>
      <c r="H126" s="51"/>
    </row>
    <row r="127" spans="1:8" ht="15.6">
      <c r="A127" s="1512" t="s">
        <v>34</v>
      </c>
      <c r="B127" s="1512"/>
      <c r="C127" s="1512" t="s">
        <v>35</v>
      </c>
      <c r="D127" s="1512"/>
      <c r="E127" s="1512"/>
      <c r="F127" s="51"/>
      <c r="G127" s="1512" t="s">
        <v>36</v>
      </c>
      <c r="H127" s="1512"/>
    </row>
    <row r="128" spans="1:8" ht="15.6">
      <c r="A128" s="1509" t="s">
        <v>37</v>
      </c>
      <c r="B128" s="1509"/>
      <c r="C128" s="1509" t="s">
        <v>38</v>
      </c>
      <c r="D128" s="1509"/>
      <c r="E128" s="1509"/>
      <c r="F128" s="51"/>
      <c r="G128" s="1509" t="s">
        <v>39</v>
      </c>
      <c r="H128" s="1509"/>
    </row>
    <row r="129" spans="1:8" ht="15.6">
      <c r="A129" s="808"/>
      <c r="B129" s="808"/>
      <c r="C129" s="808"/>
      <c r="D129" s="808"/>
      <c r="E129" s="808"/>
      <c r="F129" s="808"/>
      <c r="G129" s="808"/>
      <c r="H129" s="808"/>
    </row>
    <row r="133" spans="1:8" ht="28.8">
      <c r="A133" s="597"/>
      <c r="B133" s="597"/>
      <c r="C133" s="1513" t="s">
        <v>235</v>
      </c>
      <c r="D133" s="1513"/>
      <c r="E133" s="1513"/>
      <c r="F133" s="1513"/>
      <c r="G133" s="1513"/>
      <c r="H133" s="1513"/>
    </row>
    <row r="134" spans="1:8" ht="28.8">
      <c r="A134" s="597"/>
      <c r="B134" s="597"/>
      <c r="C134" s="1513" t="s">
        <v>1400</v>
      </c>
      <c r="D134" s="1513"/>
      <c r="E134" s="1513"/>
      <c r="F134" s="1513"/>
      <c r="G134" s="1513"/>
      <c r="H134" s="1513"/>
    </row>
    <row r="135" spans="1:8" ht="21">
      <c r="A135" s="830"/>
      <c r="B135" s="830"/>
      <c r="C135" s="1535" t="s">
        <v>1399</v>
      </c>
      <c r="D135" s="1535"/>
      <c r="E135" s="1535"/>
      <c r="F135" s="1535"/>
      <c r="G135" s="1535"/>
      <c r="H135" s="1535"/>
    </row>
    <row r="136" spans="1:8" ht="15.6">
      <c r="A136" s="769"/>
      <c r="B136" s="769"/>
      <c r="C136" s="769"/>
      <c r="D136" s="769"/>
      <c r="E136" s="769"/>
      <c r="F136" s="769"/>
      <c r="G136" s="769"/>
      <c r="H136" s="769"/>
    </row>
    <row r="137" spans="1:8" ht="15.6">
      <c r="A137" s="769"/>
      <c r="B137" s="769"/>
      <c r="C137" s="769"/>
      <c r="D137" s="769"/>
      <c r="E137" s="769"/>
      <c r="F137" s="769"/>
      <c r="G137" s="769"/>
      <c r="H137" s="769"/>
    </row>
    <row r="138" spans="1:8" ht="15.6">
      <c r="A138" s="1516" t="s">
        <v>3</v>
      </c>
      <c r="B138" s="1516" t="s">
        <v>4</v>
      </c>
      <c r="C138" s="1516" t="s">
        <v>5</v>
      </c>
      <c r="D138" s="1516" t="s">
        <v>6</v>
      </c>
      <c r="E138" s="1516" t="s">
        <v>7</v>
      </c>
      <c r="F138" s="770" t="s">
        <v>8</v>
      </c>
      <c r="G138" s="770" t="s">
        <v>9</v>
      </c>
      <c r="H138" s="770" t="s">
        <v>10</v>
      </c>
    </row>
    <row r="139" spans="1:8" ht="15.6">
      <c r="A139" s="1517"/>
      <c r="B139" s="1517"/>
      <c r="C139" s="1517"/>
      <c r="D139" s="1517"/>
      <c r="E139" s="1517"/>
      <c r="F139" s="771" t="s">
        <v>11</v>
      </c>
      <c r="G139" s="771" t="s">
        <v>11</v>
      </c>
      <c r="H139" s="771" t="s">
        <v>11</v>
      </c>
    </row>
    <row r="140" spans="1:8" ht="15.6">
      <c r="A140" s="770" t="s">
        <v>12</v>
      </c>
      <c r="B140" s="772" t="s">
        <v>364</v>
      </c>
      <c r="C140" s="773"/>
      <c r="D140" s="774"/>
      <c r="E140" s="774"/>
      <c r="F140" s="774"/>
      <c r="G140" s="775"/>
      <c r="H140" s="776"/>
    </row>
    <row r="141" spans="1:8" ht="15.6">
      <c r="A141" s="786"/>
      <c r="B141" s="787"/>
      <c r="C141" s="825"/>
      <c r="D141" s="778"/>
      <c r="E141" s="778"/>
      <c r="F141" s="778"/>
      <c r="G141" s="810"/>
      <c r="H141" s="789"/>
    </row>
    <row r="142" spans="1:8" ht="15.6">
      <c r="A142" s="814"/>
      <c r="B142" s="806"/>
      <c r="C142" s="815"/>
      <c r="D142" s="816"/>
      <c r="E142" s="816"/>
      <c r="F142" s="817"/>
      <c r="G142" s="817"/>
      <c r="H142" s="818">
        <f>SUM(G140:G142)</f>
        <v>0</v>
      </c>
    </row>
    <row r="143" spans="1:8" ht="15.6">
      <c r="A143" s="786" t="s">
        <v>18</v>
      </c>
      <c r="B143" s="787" t="s">
        <v>19</v>
      </c>
      <c r="C143" s="782"/>
      <c r="D143" s="780"/>
      <c r="E143" s="780"/>
      <c r="F143" s="778"/>
      <c r="G143" s="788"/>
      <c r="H143" s="789"/>
    </row>
    <row r="144" spans="1:8" ht="15.6">
      <c r="A144" s="790"/>
      <c r="B144" s="778" t="s">
        <v>1401</v>
      </c>
      <c r="C144" s="779"/>
      <c r="D144" s="791"/>
      <c r="E144" s="780"/>
      <c r="F144" s="789"/>
      <c r="G144" s="788"/>
      <c r="H144" s="789"/>
    </row>
    <row r="145" spans="1:8" ht="15.6">
      <c r="A145" s="790"/>
      <c r="B145" s="778" t="s">
        <v>1402</v>
      </c>
      <c r="C145" s="779">
        <v>1</v>
      </c>
      <c r="D145" s="780" t="s">
        <v>897</v>
      </c>
      <c r="E145" s="780" t="s">
        <v>51</v>
      </c>
      <c r="F145" s="788">
        <v>150000</v>
      </c>
      <c r="G145" s="788">
        <f>F145*C145</f>
        <v>150000</v>
      </c>
      <c r="H145" s="789"/>
    </row>
    <row r="146" spans="1:8" ht="15.6">
      <c r="A146" s="790"/>
      <c r="B146" s="778" t="s">
        <v>1403</v>
      </c>
      <c r="C146" s="779">
        <v>1</v>
      </c>
      <c r="D146" s="780" t="s">
        <v>21</v>
      </c>
      <c r="E146" s="780" t="s">
        <v>16</v>
      </c>
      <c r="F146" s="788">
        <v>2500000</v>
      </c>
      <c r="G146" s="788">
        <f>F146*C146</f>
        <v>2500000</v>
      </c>
      <c r="H146" s="789"/>
    </row>
    <row r="147" spans="1:8" ht="15.6">
      <c r="A147" s="790"/>
      <c r="B147" s="778" t="s">
        <v>1404</v>
      </c>
      <c r="C147" s="779"/>
      <c r="D147" s="780"/>
      <c r="E147" s="780"/>
      <c r="F147" s="788"/>
      <c r="G147" s="788"/>
      <c r="H147" s="789"/>
    </row>
    <row r="148" spans="1:8" ht="15.6">
      <c r="A148" s="790"/>
      <c r="B148" s="778" t="s">
        <v>1405</v>
      </c>
      <c r="C148" s="779">
        <v>1</v>
      </c>
      <c r="D148" s="780" t="s">
        <v>21</v>
      </c>
      <c r="E148" s="780" t="s">
        <v>16</v>
      </c>
      <c r="F148" s="788">
        <v>500000</v>
      </c>
      <c r="G148" s="788">
        <f>F148*C148</f>
        <v>500000</v>
      </c>
      <c r="H148" s="789"/>
    </row>
    <row r="149" spans="1:8" ht="15.6">
      <c r="A149" s="790"/>
      <c r="B149" s="778" t="s">
        <v>1406</v>
      </c>
      <c r="C149" s="779">
        <v>1</v>
      </c>
      <c r="D149" s="780" t="s">
        <v>21</v>
      </c>
      <c r="E149" s="780" t="s">
        <v>51</v>
      </c>
      <c r="F149" s="788">
        <v>150000</v>
      </c>
      <c r="G149" s="788">
        <f>F149*C149</f>
        <v>150000</v>
      </c>
      <c r="H149" s="789"/>
    </row>
    <row r="150" spans="1:8" ht="15.6">
      <c r="A150" s="790"/>
      <c r="B150" s="778" t="s">
        <v>1407</v>
      </c>
      <c r="C150" s="779">
        <v>1</v>
      </c>
      <c r="D150" s="780" t="s">
        <v>21</v>
      </c>
      <c r="E150" s="780" t="s">
        <v>51</v>
      </c>
      <c r="F150" s="788">
        <v>75000</v>
      </c>
      <c r="G150" s="788">
        <f>F150*C150</f>
        <v>75000</v>
      </c>
      <c r="H150" s="789"/>
    </row>
    <row r="151" spans="1:8" ht="15.6">
      <c r="A151" s="790"/>
      <c r="B151" s="778"/>
      <c r="C151" s="779"/>
      <c r="D151" s="780"/>
      <c r="E151" s="780"/>
      <c r="F151" s="788"/>
      <c r="G151" s="788"/>
      <c r="H151" s="789"/>
    </row>
    <row r="152" spans="1:8" ht="15.6">
      <c r="A152" s="790"/>
      <c r="B152" s="777"/>
      <c r="C152" s="788"/>
      <c r="D152" s="780"/>
      <c r="E152" s="780"/>
      <c r="F152" s="788"/>
      <c r="G152" s="788"/>
      <c r="H152" s="789"/>
    </row>
    <row r="153" spans="1:8" ht="15.6">
      <c r="A153" s="793"/>
      <c r="B153" s="783"/>
      <c r="C153" s="794"/>
      <c r="D153" s="795"/>
      <c r="E153" s="811"/>
      <c r="F153" s="811" t="s">
        <v>25</v>
      </c>
      <c r="G153" s="813">
        <f>SUM(G144:G152)</f>
        <v>3375000</v>
      </c>
      <c r="H153" s="810"/>
    </row>
    <row r="154" spans="1:8" ht="15.6">
      <c r="A154" s="820"/>
      <c r="B154" s="821"/>
      <c r="C154" s="822"/>
      <c r="D154" s="822"/>
      <c r="E154" s="823"/>
      <c r="F154" s="819" t="s">
        <v>1151</v>
      </c>
      <c r="G154" s="964"/>
      <c r="H154" s="825"/>
    </row>
    <row r="155" spans="1:8" ht="15.6">
      <c r="A155" s="796"/>
      <c r="B155" s="797"/>
      <c r="C155" s="784"/>
      <c r="D155" s="784"/>
      <c r="E155" s="785"/>
      <c r="F155" s="812"/>
      <c r="G155" s="798"/>
      <c r="H155" s="826">
        <f>G153+G154</f>
        <v>3375000</v>
      </c>
    </row>
    <row r="156" spans="1:8" ht="15.6">
      <c r="A156" s="820"/>
      <c r="B156" s="821"/>
      <c r="C156" s="822"/>
      <c r="D156" s="822"/>
      <c r="E156" s="823"/>
      <c r="F156" s="819"/>
      <c r="G156" s="824"/>
      <c r="H156" s="827"/>
    </row>
    <row r="157" spans="1:8" ht="15.6">
      <c r="A157" s="799"/>
      <c r="B157" s="800"/>
      <c r="C157" s="800"/>
      <c r="D157" s="800"/>
      <c r="E157" s="800"/>
      <c r="F157" s="801"/>
      <c r="G157" s="828" t="s">
        <v>28</v>
      </c>
      <c r="H157" s="775">
        <f>H155+H142</f>
        <v>3375000</v>
      </c>
    </row>
    <row r="158" spans="1:8" ht="15.6">
      <c r="A158" s="802"/>
      <c r="B158" s="803"/>
      <c r="C158" s="804"/>
      <c r="D158" s="804"/>
      <c r="E158" s="804"/>
      <c r="F158" s="805"/>
      <c r="G158" s="829" t="s">
        <v>30</v>
      </c>
      <c r="H158" s="807">
        <f>ROUND(H157,-3)</f>
        <v>3375000</v>
      </c>
    </row>
    <row r="159" spans="1:8" ht="15.6">
      <c r="A159" s="49"/>
      <c r="B159" s="49"/>
      <c r="C159" s="49"/>
      <c r="D159" s="49"/>
      <c r="E159" s="49"/>
      <c r="F159" s="49"/>
      <c r="G159" s="49"/>
      <c r="H159" s="50"/>
    </row>
    <row r="160" spans="1:8" ht="18">
      <c r="A160" s="768" t="s">
        <v>1150</v>
      </c>
      <c r="B160" s="49"/>
      <c r="C160" s="49"/>
      <c r="D160" s="49"/>
      <c r="E160" s="49"/>
      <c r="F160" s="49"/>
      <c r="G160" s="49"/>
      <c r="H160" s="50"/>
    </row>
    <row r="161" spans="1:8" ht="17.399999999999999">
      <c r="A161" s="49"/>
      <c r="B161" s="965" t="s">
        <v>1503</v>
      </c>
      <c r="C161" s="49"/>
      <c r="D161" s="49"/>
      <c r="E161" s="49"/>
      <c r="F161" s="49"/>
      <c r="G161" s="49"/>
      <c r="H161" s="50"/>
    </row>
    <row r="162" spans="1:8" ht="15.6">
      <c r="A162" s="49"/>
      <c r="B162" s="49"/>
      <c r="C162" s="49"/>
      <c r="D162" s="49"/>
      <c r="E162" s="49"/>
      <c r="F162" s="49"/>
      <c r="G162" s="49"/>
      <c r="H162" s="50"/>
    </row>
    <row r="163" spans="1:8" ht="15.6">
      <c r="A163" s="51"/>
      <c r="B163" s="51"/>
      <c r="C163" s="51"/>
      <c r="D163" s="51"/>
      <c r="E163" s="51"/>
      <c r="F163" s="51"/>
      <c r="G163" s="1509" t="s">
        <v>1505</v>
      </c>
      <c r="H163" s="1509"/>
    </row>
    <row r="164" spans="1:8" ht="15.6">
      <c r="A164" s="1509" t="s">
        <v>31</v>
      </c>
      <c r="B164" s="1509"/>
      <c r="C164" s="1509" t="s">
        <v>32</v>
      </c>
      <c r="D164" s="1509"/>
      <c r="E164" s="1509"/>
      <c r="F164" s="51"/>
      <c r="G164" s="1509" t="s">
        <v>33</v>
      </c>
      <c r="H164" s="1509"/>
    </row>
    <row r="165" spans="1:8" ht="15.6">
      <c r="A165" s="51"/>
      <c r="B165" s="51"/>
      <c r="C165" s="51"/>
      <c r="D165" s="51"/>
      <c r="E165" s="51"/>
      <c r="F165" s="51"/>
      <c r="G165" s="51"/>
      <c r="H165" s="51"/>
    </row>
    <row r="166" spans="1:8" ht="15.6">
      <c r="A166" s="51"/>
      <c r="B166" s="51"/>
      <c r="C166" s="51"/>
      <c r="D166" s="51"/>
      <c r="E166" s="51"/>
      <c r="F166" s="51"/>
      <c r="G166" s="51"/>
      <c r="H166" s="51"/>
    </row>
    <row r="167" spans="1:8" ht="15.6">
      <c r="A167" s="51"/>
      <c r="B167" s="51"/>
      <c r="C167" s="51"/>
      <c r="D167" s="51"/>
      <c r="E167" s="51"/>
      <c r="F167" s="51"/>
      <c r="G167" s="51"/>
      <c r="H167" s="51"/>
    </row>
    <row r="168" spans="1:8" ht="15.6">
      <c r="A168" s="1512" t="s">
        <v>34</v>
      </c>
      <c r="B168" s="1512"/>
      <c r="C168" s="1512" t="s">
        <v>35</v>
      </c>
      <c r="D168" s="1512"/>
      <c r="E168" s="1512"/>
      <c r="F168" s="51"/>
      <c r="G168" s="1512" t="s">
        <v>36</v>
      </c>
      <c r="H168" s="1512"/>
    </row>
    <row r="169" spans="1:8" ht="15.6">
      <c r="A169" s="1509" t="s">
        <v>37</v>
      </c>
      <c r="B169" s="1509"/>
      <c r="C169" s="1509" t="s">
        <v>38</v>
      </c>
      <c r="D169" s="1509"/>
      <c r="E169" s="1509"/>
      <c r="F169" s="51"/>
      <c r="G169" s="1509" t="s">
        <v>39</v>
      </c>
      <c r="H169" s="1509"/>
    </row>
    <row r="170" spans="1:8" ht="15.6">
      <c r="A170" s="808"/>
      <c r="B170" s="808"/>
      <c r="C170" s="808"/>
      <c r="D170" s="808"/>
      <c r="E170" s="808"/>
      <c r="F170" s="808"/>
      <c r="G170" s="808"/>
      <c r="H170" s="808"/>
    </row>
    <row r="175" spans="1:8" ht="28.8">
      <c r="A175" s="597"/>
      <c r="B175" s="597"/>
      <c r="C175" s="1513" t="s">
        <v>235</v>
      </c>
      <c r="D175" s="1513"/>
      <c r="E175" s="1513"/>
      <c r="F175" s="1513"/>
      <c r="G175" s="1513"/>
      <c r="H175" s="1513"/>
    </row>
    <row r="176" spans="1:8" ht="28.8">
      <c r="A176" s="597"/>
      <c r="B176" s="597"/>
      <c r="C176" s="1513" t="s">
        <v>1380</v>
      </c>
      <c r="D176" s="1513"/>
      <c r="E176" s="1513"/>
      <c r="F176" s="1513"/>
      <c r="G176" s="1513"/>
      <c r="H176" s="1513"/>
    </row>
    <row r="177" spans="1:8" ht="21">
      <c r="A177" s="830"/>
      <c r="B177" s="830"/>
      <c r="C177" s="1535" t="s">
        <v>311</v>
      </c>
      <c r="D177" s="1535"/>
      <c r="E177" s="1535"/>
      <c r="F177" s="1535"/>
      <c r="G177" s="1535"/>
      <c r="H177" s="1535"/>
    </row>
    <row r="178" spans="1:8" ht="15.6">
      <c r="A178" s="769"/>
      <c r="B178" s="769"/>
      <c r="C178" s="769"/>
      <c r="D178" s="769"/>
      <c r="E178" s="769"/>
      <c r="F178" s="769"/>
      <c r="G178" s="769"/>
      <c r="H178" s="769"/>
    </row>
    <row r="179" spans="1:8" ht="15.6">
      <c r="A179" s="769"/>
      <c r="B179" s="769"/>
      <c r="C179" s="769"/>
      <c r="D179" s="769"/>
      <c r="E179" s="769"/>
      <c r="F179" s="769"/>
      <c r="G179" s="769"/>
      <c r="H179" s="769"/>
    </row>
    <row r="180" spans="1:8" ht="15.6">
      <c r="A180" s="1516" t="s">
        <v>3</v>
      </c>
      <c r="B180" s="1516" t="s">
        <v>4</v>
      </c>
      <c r="C180" s="1516" t="s">
        <v>5</v>
      </c>
      <c r="D180" s="1516" t="s">
        <v>6</v>
      </c>
      <c r="E180" s="1516" t="s">
        <v>7</v>
      </c>
      <c r="F180" s="770" t="s">
        <v>8</v>
      </c>
      <c r="G180" s="770" t="s">
        <v>9</v>
      </c>
      <c r="H180" s="770" t="s">
        <v>10</v>
      </c>
    </row>
    <row r="181" spans="1:8" ht="15.6">
      <c r="A181" s="1517"/>
      <c r="B181" s="1517"/>
      <c r="C181" s="1517"/>
      <c r="D181" s="1517"/>
      <c r="E181" s="1517"/>
      <c r="F181" s="771" t="s">
        <v>11</v>
      </c>
      <c r="G181" s="771" t="s">
        <v>11</v>
      </c>
      <c r="H181" s="771" t="s">
        <v>11</v>
      </c>
    </row>
    <row r="182" spans="1:8" ht="18.75" customHeight="1">
      <c r="A182" s="770" t="s">
        <v>12</v>
      </c>
      <c r="B182" s="772" t="s">
        <v>364</v>
      </c>
      <c r="C182" s="773"/>
      <c r="D182" s="774"/>
      <c r="E182" s="774"/>
      <c r="F182" s="774"/>
      <c r="G182" s="775"/>
      <c r="H182" s="776"/>
    </row>
    <row r="183" spans="1:8" ht="18.75" customHeight="1">
      <c r="A183" s="786"/>
      <c r="B183" s="787"/>
      <c r="C183" s="825"/>
      <c r="D183" s="778"/>
      <c r="E183" s="778"/>
      <c r="F183" s="778"/>
      <c r="G183" s="810"/>
      <c r="H183" s="789"/>
    </row>
    <row r="184" spans="1:8" ht="18.75" customHeight="1">
      <c r="A184" s="814"/>
      <c r="B184" s="806"/>
      <c r="C184" s="815"/>
      <c r="D184" s="816"/>
      <c r="E184" s="816"/>
      <c r="F184" s="817"/>
      <c r="G184" s="817"/>
      <c r="H184" s="818">
        <f>SUM(G182:G184)</f>
        <v>0</v>
      </c>
    </row>
    <row r="185" spans="1:8" ht="18.75" customHeight="1">
      <c r="A185" s="786" t="s">
        <v>18</v>
      </c>
      <c r="B185" s="787" t="s">
        <v>19</v>
      </c>
      <c r="C185" s="782"/>
      <c r="D185" s="780"/>
      <c r="E185" s="780"/>
      <c r="F185" s="778"/>
      <c r="G185" s="788"/>
      <c r="H185" s="789"/>
    </row>
    <row r="186" spans="1:8" ht="18.75" customHeight="1">
      <c r="A186" s="790"/>
      <c r="B186" s="778" t="s">
        <v>1381</v>
      </c>
      <c r="C186" s="779"/>
      <c r="D186" s="791"/>
      <c r="E186" s="780"/>
      <c r="F186" s="789"/>
      <c r="G186" s="788"/>
      <c r="H186" s="789"/>
    </row>
    <row r="187" spans="1:8" ht="18.75" customHeight="1">
      <c r="A187" s="790"/>
      <c r="B187" s="778" t="s">
        <v>1382</v>
      </c>
      <c r="C187" s="779">
        <v>1</v>
      </c>
      <c r="D187" s="780" t="s">
        <v>61</v>
      </c>
      <c r="E187" s="780" t="s">
        <v>51</v>
      </c>
      <c r="F187" s="788">
        <v>500000</v>
      </c>
      <c r="G187" s="788">
        <f>F187*C187</f>
        <v>500000</v>
      </c>
      <c r="H187" s="789"/>
    </row>
    <row r="188" spans="1:8" ht="18.75" customHeight="1">
      <c r="A188" s="790"/>
      <c r="B188" s="778" t="s">
        <v>1504</v>
      </c>
      <c r="C188" s="779">
        <v>1</v>
      </c>
      <c r="D188" s="780" t="s">
        <v>21</v>
      </c>
      <c r="E188" s="780" t="s">
        <v>16</v>
      </c>
      <c r="F188" s="788">
        <v>9450000</v>
      </c>
      <c r="G188" s="788">
        <f>F188*C188</f>
        <v>9450000</v>
      </c>
      <c r="H188" s="789"/>
    </row>
    <row r="189" spans="1:8" ht="18.75" customHeight="1">
      <c r="A189" s="790"/>
      <c r="B189" s="778" t="s">
        <v>1383</v>
      </c>
      <c r="C189" s="779"/>
      <c r="D189" s="780"/>
      <c r="E189" s="780"/>
      <c r="F189" s="788"/>
      <c r="G189" s="788"/>
      <c r="H189" s="789"/>
    </row>
    <row r="190" spans="1:8" ht="18.75" customHeight="1">
      <c r="A190" s="790"/>
      <c r="B190" s="778"/>
      <c r="C190" s="779"/>
      <c r="D190" s="780"/>
      <c r="E190" s="780"/>
      <c r="F190" s="788"/>
      <c r="G190" s="788"/>
      <c r="H190" s="789"/>
    </row>
    <row r="191" spans="1:8" ht="18.75" customHeight="1">
      <c r="A191" s="790"/>
      <c r="B191" s="778" t="s">
        <v>1384</v>
      </c>
      <c r="C191" s="779"/>
      <c r="D191" s="780"/>
      <c r="E191" s="780"/>
      <c r="F191" s="788"/>
      <c r="G191" s="788"/>
      <c r="H191" s="789"/>
    </row>
    <row r="192" spans="1:8" ht="18.75" customHeight="1">
      <c r="A192" s="790"/>
      <c r="B192" s="778" t="s">
        <v>1385</v>
      </c>
      <c r="C192" s="779">
        <v>1</v>
      </c>
      <c r="D192" s="780" t="s">
        <v>21</v>
      </c>
      <c r="E192" s="780" t="s">
        <v>16</v>
      </c>
      <c r="F192" s="788">
        <v>11144600</v>
      </c>
      <c r="G192" s="788">
        <f>F192*C192</f>
        <v>11144600</v>
      </c>
      <c r="H192" s="789"/>
    </row>
    <row r="193" spans="1:8" ht="18.75" customHeight="1">
      <c r="A193" s="790"/>
      <c r="B193" s="778" t="s">
        <v>1386</v>
      </c>
      <c r="C193" s="779">
        <v>1</v>
      </c>
      <c r="D193" s="780" t="s">
        <v>21</v>
      </c>
      <c r="E193" s="780" t="s">
        <v>16</v>
      </c>
      <c r="F193" s="788">
        <v>350000</v>
      </c>
      <c r="G193" s="788">
        <f>F193*C193</f>
        <v>350000</v>
      </c>
      <c r="H193" s="789"/>
    </row>
    <row r="194" spans="1:8" ht="18.75" customHeight="1">
      <c r="A194" s="790"/>
      <c r="B194" s="778"/>
      <c r="C194" s="779"/>
      <c r="D194" s="780"/>
      <c r="E194" s="780"/>
      <c r="F194" s="788"/>
      <c r="G194" s="788"/>
      <c r="H194" s="789"/>
    </row>
    <row r="195" spans="1:8" ht="18.75" customHeight="1">
      <c r="A195" s="790"/>
      <c r="B195" s="778" t="s">
        <v>1387</v>
      </c>
      <c r="C195" s="779"/>
      <c r="D195" s="780"/>
      <c r="E195" s="780"/>
      <c r="F195" s="788"/>
      <c r="G195" s="788"/>
      <c r="H195" s="789"/>
    </row>
    <row r="196" spans="1:8" ht="18.75" customHeight="1">
      <c r="A196" s="790"/>
      <c r="B196" s="778" t="s">
        <v>1388</v>
      </c>
      <c r="C196" s="779">
        <v>1</v>
      </c>
      <c r="D196" s="780" t="s">
        <v>69</v>
      </c>
      <c r="E196" s="780" t="s">
        <v>51</v>
      </c>
      <c r="F196" s="788">
        <v>100000</v>
      </c>
      <c r="G196" s="788">
        <f>F196*C196</f>
        <v>100000</v>
      </c>
      <c r="H196" s="789"/>
    </row>
    <row r="197" spans="1:8" ht="18.75" customHeight="1">
      <c r="A197" s="790"/>
      <c r="B197" s="778" t="s">
        <v>1389</v>
      </c>
      <c r="C197" s="779">
        <v>0.92249999999999999</v>
      </c>
      <c r="D197" s="780" t="s">
        <v>81</v>
      </c>
      <c r="E197" s="780" t="s">
        <v>1392</v>
      </c>
      <c r="F197" s="788">
        <v>584011.14</v>
      </c>
      <c r="G197" s="788">
        <f>F197*C197</f>
        <v>538750.27665000001</v>
      </c>
      <c r="H197" s="789"/>
    </row>
    <row r="198" spans="1:8" ht="18.75" customHeight="1">
      <c r="A198" s="790"/>
      <c r="B198" s="778" t="s">
        <v>1394</v>
      </c>
      <c r="C198" s="779">
        <v>0.3</v>
      </c>
      <c r="D198" s="780" t="s">
        <v>81</v>
      </c>
      <c r="E198" s="780" t="s">
        <v>1393</v>
      </c>
      <c r="F198" s="788">
        <v>1362118.29</v>
      </c>
      <c r="G198" s="788">
        <f>F198*C198</f>
        <v>408635.48700000002</v>
      </c>
      <c r="H198" s="789"/>
    </row>
    <row r="199" spans="1:8" ht="18.75" customHeight="1">
      <c r="A199" s="790"/>
      <c r="B199" s="778"/>
      <c r="C199" s="779"/>
      <c r="D199" s="780"/>
      <c r="E199" s="780"/>
      <c r="F199" s="788"/>
      <c r="G199" s="788"/>
      <c r="H199" s="789"/>
    </row>
    <row r="200" spans="1:8" ht="18.75" customHeight="1">
      <c r="A200" s="790"/>
      <c r="B200" s="778" t="s">
        <v>1390</v>
      </c>
      <c r="C200" s="779">
        <v>1</v>
      </c>
      <c r="D200" s="780" t="s">
        <v>21</v>
      </c>
      <c r="E200" s="780" t="s">
        <v>51</v>
      </c>
      <c r="F200" s="788">
        <v>250000</v>
      </c>
      <c r="G200" s="788">
        <f>F200*C200</f>
        <v>250000</v>
      </c>
      <c r="H200" s="789"/>
    </row>
    <row r="201" spans="1:8" ht="18.75" customHeight="1">
      <c r="A201" s="790"/>
      <c r="B201" s="778" t="s">
        <v>1391</v>
      </c>
      <c r="C201" s="779">
        <v>1</v>
      </c>
      <c r="D201" s="780" t="s">
        <v>21</v>
      </c>
      <c r="E201" s="780" t="s">
        <v>16</v>
      </c>
      <c r="F201" s="788">
        <v>1000000</v>
      </c>
      <c r="G201" s="788">
        <f>F201*C201</f>
        <v>1000000</v>
      </c>
      <c r="H201" s="789"/>
    </row>
    <row r="202" spans="1:8" ht="18.75" customHeight="1">
      <c r="A202" s="790"/>
      <c r="B202" s="778"/>
      <c r="C202" s="779"/>
      <c r="D202" s="780"/>
      <c r="E202" s="780"/>
      <c r="F202" s="788"/>
      <c r="G202" s="788"/>
      <c r="H202" s="789"/>
    </row>
    <row r="203" spans="1:8" ht="18.75" customHeight="1">
      <c r="A203" s="790"/>
      <c r="B203" s="777"/>
      <c r="C203" s="788"/>
      <c r="D203" s="780"/>
      <c r="E203" s="780"/>
      <c r="F203" s="788"/>
      <c r="G203" s="788"/>
      <c r="H203" s="789"/>
    </row>
    <row r="204" spans="1:8" ht="18.75" customHeight="1">
      <c r="A204" s="793"/>
      <c r="B204" s="783"/>
      <c r="C204" s="794"/>
      <c r="D204" s="795"/>
      <c r="E204" s="811"/>
      <c r="F204" s="811" t="s">
        <v>25</v>
      </c>
      <c r="G204" s="813">
        <f>SUM(G186:G203)</f>
        <v>23741985.76365</v>
      </c>
      <c r="H204" s="810"/>
    </row>
    <row r="205" spans="1:8" ht="15.6">
      <c r="A205" s="820"/>
      <c r="B205" s="821"/>
      <c r="C205" s="822"/>
      <c r="D205" s="822"/>
      <c r="E205" s="823"/>
      <c r="F205" s="819" t="s">
        <v>1151</v>
      </c>
      <c r="G205" s="964">
        <f>G204/10</f>
        <v>2374198.5763650001</v>
      </c>
      <c r="H205" s="825"/>
    </row>
    <row r="206" spans="1:8" ht="15.6">
      <c r="A206" s="796"/>
      <c r="B206" s="797"/>
      <c r="C206" s="784"/>
      <c r="D206" s="784"/>
      <c r="E206" s="785"/>
      <c r="F206" s="812"/>
      <c r="G206" s="798"/>
      <c r="H206" s="826">
        <f>G204+G205</f>
        <v>26116184.340015002</v>
      </c>
    </row>
    <row r="207" spans="1:8" ht="15.6">
      <c r="A207" s="820"/>
      <c r="B207" s="821"/>
      <c r="C207" s="822"/>
      <c r="D207" s="822"/>
      <c r="E207" s="823"/>
      <c r="F207" s="819"/>
      <c r="G207" s="824"/>
      <c r="H207" s="827"/>
    </row>
    <row r="208" spans="1:8" ht="15.6">
      <c r="A208" s="799"/>
      <c r="B208" s="800"/>
      <c r="C208" s="800"/>
      <c r="D208" s="800"/>
      <c r="E208" s="800"/>
      <c r="F208" s="801"/>
      <c r="G208" s="828" t="s">
        <v>28</v>
      </c>
      <c r="H208" s="775">
        <f>H206+H184</f>
        <v>26116184.340015002</v>
      </c>
    </row>
    <row r="209" spans="1:8" ht="15.6">
      <c r="A209" s="802"/>
      <c r="B209" s="803"/>
      <c r="C209" s="804"/>
      <c r="D209" s="804"/>
      <c r="E209" s="804"/>
      <c r="F209" s="805"/>
      <c r="G209" s="829" t="s">
        <v>30</v>
      </c>
      <c r="H209" s="807">
        <f>ROUND(H208,-3)</f>
        <v>26116000</v>
      </c>
    </row>
    <row r="210" spans="1:8" ht="15.6">
      <c r="A210" s="49"/>
      <c r="B210" s="49"/>
      <c r="C210" s="49"/>
      <c r="D210" s="49"/>
      <c r="E210" s="49"/>
      <c r="F210" s="49"/>
      <c r="G210" s="49"/>
      <c r="H210" s="50"/>
    </row>
    <row r="211" spans="1:8" ht="18">
      <c r="A211" s="768" t="s">
        <v>1150</v>
      </c>
      <c r="B211" s="49"/>
      <c r="C211" s="49"/>
      <c r="D211" s="49"/>
      <c r="E211" s="49"/>
      <c r="F211" s="49"/>
      <c r="G211" s="49"/>
      <c r="H211" s="50"/>
    </row>
    <row r="212" spans="1:8" ht="17.399999999999999">
      <c r="A212" s="49"/>
      <c r="B212" s="965" t="s">
        <v>1464</v>
      </c>
      <c r="C212" s="49"/>
      <c r="D212" s="49"/>
      <c r="E212" s="49"/>
      <c r="F212" s="49"/>
      <c r="G212" s="49"/>
      <c r="H212" s="50"/>
    </row>
    <row r="213" spans="1:8" ht="15.6">
      <c r="A213" s="49"/>
      <c r="B213" s="49"/>
      <c r="C213" s="49"/>
      <c r="D213" s="49"/>
      <c r="E213" s="49"/>
      <c r="F213" s="49"/>
      <c r="G213" s="49"/>
      <c r="H213" s="50"/>
    </row>
    <row r="214" spans="1:8" ht="15.6">
      <c r="A214" s="51"/>
      <c r="B214" s="51"/>
      <c r="C214" s="51"/>
      <c r="D214" s="51"/>
      <c r="E214" s="51"/>
      <c r="F214" s="51"/>
      <c r="G214" s="1509" t="s">
        <v>1505</v>
      </c>
      <c r="H214" s="1509"/>
    </row>
    <row r="215" spans="1:8" ht="15.6">
      <c r="A215" s="1509" t="s">
        <v>31</v>
      </c>
      <c r="B215" s="1509"/>
      <c r="C215" s="1509" t="s">
        <v>32</v>
      </c>
      <c r="D215" s="1509"/>
      <c r="E215" s="1509"/>
      <c r="F215" s="51"/>
      <c r="G215" s="1509" t="s">
        <v>33</v>
      </c>
      <c r="H215" s="1509"/>
    </row>
    <row r="216" spans="1:8" ht="15.6">
      <c r="A216" s="51"/>
      <c r="B216" s="51"/>
      <c r="C216" s="51"/>
      <c r="D216" s="51"/>
      <c r="E216" s="51"/>
      <c r="F216" s="51"/>
      <c r="G216" s="51"/>
      <c r="H216" s="51"/>
    </row>
    <row r="217" spans="1:8" ht="15.6">
      <c r="A217" s="51"/>
      <c r="B217" s="51"/>
      <c r="C217" s="51"/>
      <c r="D217" s="51"/>
      <c r="E217" s="51"/>
      <c r="F217" s="51"/>
      <c r="G217" s="51"/>
      <c r="H217" s="51"/>
    </row>
    <row r="218" spans="1:8" ht="15.6">
      <c r="A218" s="51"/>
      <c r="B218" s="51"/>
      <c r="C218" s="51"/>
      <c r="D218" s="51"/>
      <c r="E218" s="51"/>
      <c r="F218" s="51"/>
      <c r="G218" s="51"/>
      <c r="H218" s="51"/>
    </row>
    <row r="219" spans="1:8" ht="15.6">
      <c r="A219" s="1512" t="s">
        <v>34</v>
      </c>
      <c r="B219" s="1512"/>
      <c r="C219" s="1512" t="s">
        <v>35</v>
      </c>
      <c r="D219" s="1512"/>
      <c r="E219" s="1512"/>
      <c r="F219" s="51"/>
      <c r="G219" s="1512" t="s">
        <v>36</v>
      </c>
      <c r="H219" s="1512"/>
    </row>
    <row r="220" spans="1:8" ht="15.6">
      <c r="A220" s="1509" t="s">
        <v>37</v>
      </c>
      <c r="B220" s="1509"/>
      <c r="C220" s="1509" t="s">
        <v>38</v>
      </c>
      <c r="D220" s="1509"/>
      <c r="E220" s="1509"/>
      <c r="F220" s="51"/>
      <c r="G220" s="1509" t="s">
        <v>39</v>
      </c>
      <c r="H220" s="1509"/>
    </row>
    <row r="221" spans="1:8" ht="15.6">
      <c r="A221" s="808"/>
      <c r="B221" s="808"/>
      <c r="C221" s="808"/>
      <c r="D221" s="808"/>
      <c r="E221" s="808"/>
      <c r="F221" s="808"/>
      <c r="G221" s="808"/>
      <c r="H221" s="808"/>
    </row>
    <row r="222" spans="1:8" ht="28.8">
      <c r="A222" s="597"/>
      <c r="B222" s="597"/>
      <c r="C222" s="1513" t="s">
        <v>235</v>
      </c>
      <c r="D222" s="1513"/>
      <c r="E222" s="1513"/>
      <c r="F222" s="1513"/>
      <c r="G222" s="1513"/>
      <c r="H222" s="1513"/>
    </row>
    <row r="223" spans="1:8" ht="28.8">
      <c r="A223" s="597"/>
      <c r="B223" s="597"/>
      <c r="C223" s="1513" t="s">
        <v>1366</v>
      </c>
      <c r="D223" s="1513"/>
      <c r="E223" s="1513"/>
      <c r="F223" s="1513"/>
      <c r="G223" s="1513"/>
      <c r="H223" s="1513"/>
    </row>
    <row r="224" spans="1:8" ht="21">
      <c r="A224" s="830"/>
      <c r="B224" s="830"/>
      <c r="C224" s="1535" t="s">
        <v>1367</v>
      </c>
      <c r="D224" s="1535"/>
      <c r="E224" s="1535"/>
      <c r="F224" s="1535"/>
      <c r="G224" s="1535"/>
      <c r="H224" s="1535"/>
    </row>
    <row r="225" spans="1:8" ht="15.6">
      <c r="A225" s="769"/>
      <c r="B225" s="769"/>
      <c r="C225" s="769"/>
      <c r="D225" s="769"/>
      <c r="E225" s="769"/>
      <c r="F225" s="769"/>
      <c r="G225" s="769"/>
      <c r="H225" s="769"/>
    </row>
    <row r="226" spans="1:8" ht="15.6">
      <c r="A226" s="769"/>
      <c r="B226" s="769"/>
      <c r="C226" s="769"/>
      <c r="D226" s="769"/>
      <c r="E226" s="769"/>
      <c r="F226" s="769"/>
      <c r="G226" s="769"/>
      <c r="H226" s="769"/>
    </row>
    <row r="227" spans="1:8" ht="15.6">
      <c r="A227" s="1516" t="s">
        <v>3</v>
      </c>
      <c r="B227" s="1516" t="s">
        <v>4</v>
      </c>
      <c r="C227" s="1516" t="s">
        <v>5</v>
      </c>
      <c r="D227" s="1516" t="s">
        <v>6</v>
      </c>
      <c r="E227" s="1516" t="s">
        <v>7</v>
      </c>
      <c r="F227" s="770" t="s">
        <v>8</v>
      </c>
      <c r="G227" s="770" t="s">
        <v>9</v>
      </c>
      <c r="H227" s="770" t="s">
        <v>10</v>
      </c>
    </row>
    <row r="228" spans="1:8" ht="15.6">
      <c r="A228" s="1517"/>
      <c r="B228" s="1517"/>
      <c r="C228" s="1517"/>
      <c r="D228" s="1517"/>
      <c r="E228" s="1517"/>
      <c r="F228" s="771" t="s">
        <v>11</v>
      </c>
      <c r="G228" s="771" t="s">
        <v>11</v>
      </c>
      <c r="H228" s="771" t="s">
        <v>11</v>
      </c>
    </row>
    <row r="229" spans="1:8" ht="15.6">
      <c r="A229" s="770" t="s">
        <v>12</v>
      </c>
      <c r="B229" s="772" t="s">
        <v>364</v>
      </c>
      <c r="C229" s="773"/>
      <c r="D229" s="774"/>
      <c r="E229" s="774"/>
      <c r="F229" s="774"/>
      <c r="G229" s="775"/>
      <c r="H229" s="776"/>
    </row>
    <row r="230" spans="1:8" ht="18">
      <c r="A230" s="777"/>
      <c r="B230" s="778" t="s">
        <v>1368</v>
      </c>
      <c r="C230" s="779">
        <v>5</v>
      </c>
      <c r="D230" s="780" t="s">
        <v>15</v>
      </c>
      <c r="E230" s="780" t="s">
        <v>16</v>
      </c>
      <c r="F230" s="781">
        <v>350000</v>
      </c>
      <c r="G230" s="781">
        <f>F230*C230</f>
        <v>1750000</v>
      </c>
      <c r="H230" s="831"/>
    </row>
    <row r="231" spans="1:8" ht="18">
      <c r="A231" s="777"/>
      <c r="B231" s="778" t="s">
        <v>1369</v>
      </c>
      <c r="C231" s="779">
        <v>25</v>
      </c>
      <c r="D231" s="780" t="s">
        <v>1373</v>
      </c>
      <c r="E231" s="780" t="s">
        <v>16</v>
      </c>
      <c r="F231" s="781">
        <v>13000</v>
      </c>
      <c r="G231" s="781">
        <f>F231*C231</f>
        <v>325000</v>
      </c>
      <c r="H231" s="809"/>
    </row>
    <row r="232" spans="1:8" ht="18">
      <c r="A232" s="777"/>
      <c r="B232" s="778" t="s">
        <v>1370</v>
      </c>
      <c r="C232" s="779">
        <v>1</v>
      </c>
      <c r="D232" s="780" t="s">
        <v>15</v>
      </c>
      <c r="E232" s="780" t="s">
        <v>16</v>
      </c>
      <c r="F232" s="781">
        <v>5500</v>
      </c>
      <c r="G232" s="781">
        <f>F232*C232</f>
        <v>5500</v>
      </c>
      <c r="H232" s="809"/>
    </row>
    <row r="233" spans="1:8" ht="18">
      <c r="A233" s="777"/>
      <c r="B233" s="778" t="s">
        <v>1371</v>
      </c>
      <c r="C233" s="779">
        <v>6</v>
      </c>
      <c r="D233" s="780" t="s">
        <v>245</v>
      </c>
      <c r="E233" s="780" t="s">
        <v>16</v>
      </c>
      <c r="F233" s="781">
        <v>32000</v>
      </c>
      <c r="G233" s="781">
        <f>F233*C233</f>
        <v>192000</v>
      </c>
      <c r="H233" s="809"/>
    </row>
    <row r="234" spans="1:8" ht="18">
      <c r="A234" s="777"/>
      <c r="B234" s="778" t="s">
        <v>1372</v>
      </c>
      <c r="C234" s="779">
        <v>1</v>
      </c>
      <c r="D234" s="780" t="s">
        <v>1374</v>
      </c>
      <c r="E234" s="780" t="s">
        <v>16</v>
      </c>
      <c r="F234" s="781">
        <v>5000</v>
      </c>
      <c r="G234" s="781">
        <f>F234*C234</f>
        <v>5000</v>
      </c>
      <c r="H234" s="809"/>
    </row>
    <row r="235" spans="1:8" ht="18">
      <c r="A235" s="777"/>
      <c r="B235" s="778"/>
      <c r="C235" s="779"/>
      <c r="D235" s="780"/>
      <c r="E235" s="780"/>
      <c r="F235" s="781"/>
      <c r="G235" s="781"/>
      <c r="H235" s="809"/>
    </row>
    <row r="236" spans="1:8" ht="15.6">
      <c r="A236" s="814"/>
      <c r="B236" s="806"/>
      <c r="C236" s="815"/>
      <c r="D236" s="816"/>
      <c r="E236" s="816"/>
      <c r="F236" s="817"/>
      <c r="G236" s="817"/>
      <c r="H236" s="818">
        <f>SUM(G229:G236)</f>
        <v>2277500</v>
      </c>
    </row>
    <row r="237" spans="1:8" ht="15.6">
      <c r="A237" s="786" t="s">
        <v>18</v>
      </c>
      <c r="B237" s="787" t="s">
        <v>19</v>
      </c>
      <c r="C237" s="782"/>
      <c r="D237" s="780"/>
      <c r="E237" s="780"/>
      <c r="F237" s="778"/>
      <c r="G237" s="788"/>
      <c r="H237" s="789"/>
    </row>
    <row r="238" spans="1:8" ht="15.6">
      <c r="A238" s="790"/>
      <c r="B238" s="778" t="s">
        <v>1375</v>
      </c>
      <c r="C238" s="779">
        <v>1</v>
      </c>
      <c r="D238" s="791" t="s">
        <v>15</v>
      </c>
      <c r="E238" s="780" t="s">
        <v>51</v>
      </c>
      <c r="F238" s="789">
        <v>300000</v>
      </c>
      <c r="G238" s="788">
        <f>F238*C238</f>
        <v>300000</v>
      </c>
      <c r="H238" s="789"/>
    </row>
    <row r="239" spans="1:8" ht="15.6">
      <c r="A239" s="790"/>
      <c r="B239" s="778" t="s">
        <v>1376</v>
      </c>
      <c r="C239" s="779">
        <v>1</v>
      </c>
      <c r="D239" s="780" t="s">
        <v>21</v>
      </c>
      <c r="E239" s="780" t="s">
        <v>51</v>
      </c>
      <c r="F239" s="788">
        <v>1200000</v>
      </c>
      <c r="G239" s="788">
        <f>F239*C239</f>
        <v>1200000</v>
      </c>
      <c r="H239" s="789"/>
    </row>
    <row r="240" spans="1:8" ht="15.6">
      <c r="A240" s="790"/>
      <c r="B240" s="778" t="s">
        <v>1377</v>
      </c>
      <c r="C240" s="779">
        <v>1</v>
      </c>
      <c r="D240" s="780" t="s">
        <v>15</v>
      </c>
      <c r="E240" s="780" t="s">
        <v>51</v>
      </c>
      <c r="F240" s="788">
        <v>100000</v>
      </c>
      <c r="G240" s="788">
        <f>F240*C240</f>
        <v>100000</v>
      </c>
      <c r="H240" s="789"/>
    </row>
    <row r="241" spans="1:8" ht="15.6">
      <c r="A241" s="790"/>
      <c r="B241" s="778" t="s">
        <v>1378</v>
      </c>
      <c r="C241" s="779">
        <v>1200</v>
      </c>
      <c r="D241" s="780" t="s">
        <v>1379</v>
      </c>
      <c r="E241" s="780" t="s">
        <v>51</v>
      </c>
      <c r="F241" s="788">
        <v>416.66</v>
      </c>
      <c r="G241" s="788">
        <f>F241*C241</f>
        <v>499992.00000000006</v>
      </c>
      <c r="H241" s="789"/>
    </row>
    <row r="242" spans="1:8" ht="15.6">
      <c r="A242" s="790"/>
      <c r="B242" s="778"/>
      <c r="C242" s="779"/>
      <c r="D242" s="780"/>
      <c r="E242" s="780"/>
      <c r="F242" s="788"/>
      <c r="G242" s="788"/>
      <c r="H242" s="789"/>
    </row>
    <row r="243" spans="1:8" ht="15.6">
      <c r="A243" s="790"/>
      <c r="B243" s="777"/>
      <c r="C243" s="788"/>
      <c r="D243" s="780"/>
      <c r="E243" s="780"/>
      <c r="F243" s="788"/>
      <c r="G243" s="788"/>
      <c r="H243" s="789"/>
    </row>
    <row r="244" spans="1:8" ht="15.6">
      <c r="A244" s="793"/>
      <c r="B244" s="783"/>
      <c r="C244" s="794"/>
      <c r="D244" s="795"/>
      <c r="E244" s="811"/>
      <c r="F244" s="811" t="s">
        <v>25</v>
      </c>
      <c r="G244" s="813">
        <f>SUM(G238:G243)</f>
        <v>2099992</v>
      </c>
      <c r="H244" s="810"/>
    </row>
    <row r="245" spans="1:8" ht="15.6">
      <c r="A245" s="820"/>
      <c r="B245" s="821"/>
      <c r="C245" s="822"/>
      <c r="D245" s="822"/>
      <c r="E245" s="823"/>
      <c r="F245" s="819" t="s">
        <v>1151</v>
      </c>
      <c r="G245" s="824"/>
      <c r="H245" s="825"/>
    </row>
    <row r="246" spans="1:8" ht="15.6">
      <c r="A246" s="796"/>
      <c r="B246" s="797"/>
      <c r="C246" s="784"/>
      <c r="D246" s="784"/>
      <c r="E246" s="785"/>
      <c r="F246" s="812"/>
      <c r="G246" s="798"/>
      <c r="H246" s="826">
        <f>G244+G245</f>
        <v>2099992</v>
      </c>
    </row>
    <row r="247" spans="1:8" ht="15.6">
      <c r="A247" s="820"/>
      <c r="B247" s="821"/>
      <c r="C247" s="822"/>
      <c r="D247" s="822"/>
      <c r="E247" s="823"/>
      <c r="F247" s="819"/>
      <c r="G247" s="824"/>
      <c r="H247" s="827"/>
    </row>
    <row r="248" spans="1:8" ht="15.6">
      <c r="A248" s="799"/>
      <c r="B248" s="800"/>
      <c r="C248" s="800"/>
      <c r="D248" s="800"/>
      <c r="E248" s="800"/>
      <c r="F248" s="801"/>
      <c r="G248" s="828" t="s">
        <v>28</v>
      </c>
      <c r="H248" s="775">
        <f>H246+H236</f>
        <v>4377492</v>
      </c>
    </row>
    <row r="249" spans="1:8" ht="15.6">
      <c r="A249" s="802"/>
      <c r="B249" s="803"/>
      <c r="C249" s="804"/>
      <c r="D249" s="804"/>
      <c r="E249" s="804"/>
      <c r="F249" s="805"/>
      <c r="G249" s="829" t="s">
        <v>30</v>
      </c>
      <c r="H249" s="807">
        <f>ROUND(H248,-3)</f>
        <v>4377000</v>
      </c>
    </row>
    <row r="250" spans="1:8" ht="15.6">
      <c r="A250" s="49"/>
      <c r="B250" s="49"/>
      <c r="C250" s="49"/>
      <c r="D250" s="49"/>
      <c r="E250" s="49"/>
      <c r="F250" s="49"/>
      <c r="G250" s="49"/>
      <c r="H250" s="50"/>
    </row>
    <row r="251" spans="1:8" ht="18">
      <c r="A251" s="768" t="s">
        <v>1150</v>
      </c>
      <c r="B251" s="49"/>
      <c r="C251" s="49"/>
      <c r="D251" s="49"/>
      <c r="E251" s="49"/>
      <c r="F251" s="49"/>
      <c r="G251" s="49"/>
      <c r="H251" s="50"/>
    </row>
    <row r="252" spans="1:8" ht="15.6">
      <c r="A252" s="49"/>
      <c r="B252" s="962" t="e">
        <f ca="1">PROPER([1]!terbilang(H249)&amp;" rupiah")</f>
        <v>#NAME?</v>
      </c>
      <c r="C252" s="49"/>
      <c r="D252" s="49"/>
      <c r="E252" s="49"/>
      <c r="F252" s="49"/>
      <c r="G252" s="49"/>
      <c r="H252" s="50"/>
    </row>
    <row r="253" spans="1:8" ht="15.6">
      <c r="A253" s="49"/>
      <c r="B253" s="49"/>
      <c r="C253" s="49"/>
      <c r="D253" s="49"/>
      <c r="E253" s="49"/>
      <c r="F253" s="49"/>
      <c r="G253" s="49"/>
      <c r="H253" s="50"/>
    </row>
    <row r="254" spans="1:8" ht="15.6">
      <c r="A254" s="51"/>
      <c r="B254" s="51"/>
      <c r="C254" s="51"/>
      <c r="D254" s="51"/>
      <c r="E254" s="51"/>
      <c r="F254" s="51"/>
      <c r="G254" s="1509" t="s">
        <v>1351</v>
      </c>
      <c r="H254" s="1509"/>
    </row>
    <row r="255" spans="1:8" ht="15.6">
      <c r="A255" s="1509" t="s">
        <v>31</v>
      </c>
      <c r="B255" s="1509"/>
      <c r="C255" s="1509" t="s">
        <v>32</v>
      </c>
      <c r="D255" s="1509"/>
      <c r="E255" s="1509"/>
      <c r="F255" s="51"/>
      <c r="G255" s="1509" t="s">
        <v>33</v>
      </c>
      <c r="H255" s="1509"/>
    </row>
    <row r="256" spans="1:8" ht="15.6">
      <c r="A256" s="51"/>
      <c r="B256" s="51"/>
      <c r="C256" s="51"/>
      <c r="D256" s="51"/>
      <c r="E256" s="51"/>
      <c r="F256" s="51"/>
      <c r="G256" s="51"/>
      <c r="H256" s="51"/>
    </row>
    <row r="257" spans="1:8" ht="15.6">
      <c r="A257" s="51"/>
      <c r="B257" s="51"/>
      <c r="C257" s="51"/>
      <c r="D257" s="51"/>
      <c r="E257" s="51"/>
      <c r="F257" s="51"/>
      <c r="G257" s="51"/>
      <c r="H257" s="51"/>
    </row>
    <row r="258" spans="1:8" ht="15.6">
      <c r="A258" s="51"/>
      <c r="B258" s="51"/>
      <c r="C258" s="51"/>
      <c r="D258" s="51"/>
      <c r="E258" s="51"/>
      <c r="F258" s="51"/>
      <c r="G258" s="51"/>
      <c r="H258" s="51"/>
    </row>
    <row r="259" spans="1:8" ht="15.6">
      <c r="A259" s="1512" t="s">
        <v>34</v>
      </c>
      <c r="B259" s="1512"/>
      <c r="C259" s="1512" t="s">
        <v>35</v>
      </c>
      <c r="D259" s="1512"/>
      <c r="E259" s="1512"/>
      <c r="F259" s="51"/>
      <c r="G259" s="1512" t="s">
        <v>36</v>
      </c>
      <c r="H259" s="1512"/>
    </row>
    <row r="260" spans="1:8" ht="15.6">
      <c r="A260" s="1509" t="s">
        <v>37</v>
      </c>
      <c r="B260" s="1509"/>
      <c r="C260" s="1509" t="s">
        <v>38</v>
      </c>
      <c r="D260" s="1509"/>
      <c r="E260" s="1509"/>
      <c r="F260" s="51"/>
      <c r="G260" s="1509" t="s">
        <v>39</v>
      </c>
      <c r="H260" s="1509"/>
    </row>
    <row r="261" spans="1:8" ht="15.6">
      <c r="A261" s="808"/>
      <c r="B261" s="808"/>
      <c r="C261" s="808"/>
      <c r="D261" s="808"/>
      <c r="E261" s="808"/>
      <c r="F261" s="808"/>
      <c r="G261" s="808"/>
      <c r="H261" s="808"/>
    </row>
    <row r="262" spans="1:8" ht="28.8">
      <c r="A262" s="597"/>
      <c r="B262" s="597"/>
      <c r="C262" s="1513" t="s">
        <v>235</v>
      </c>
      <c r="D262" s="1513"/>
      <c r="E262" s="1513"/>
      <c r="F262" s="1513"/>
      <c r="G262" s="1513"/>
      <c r="H262" s="1513"/>
    </row>
    <row r="263" spans="1:8" ht="28.8">
      <c r="A263" s="597"/>
      <c r="B263" s="597"/>
      <c r="C263" s="1513" t="s">
        <v>1353</v>
      </c>
      <c r="D263" s="1513"/>
      <c r="E263" s="1513"/>
      <c r="F263" s="1513"/>
      <c r="G263" s="1513"/>
      <c r="H263" s="1513"/>
    </row>
    <row r="264" spans="1:8" ht="21">
      <c r="A264" s="830"/>
      <c r="B264" s="830"/>
      <c r="C264" s="1535" t="s">
        <v>1354</v>
      </c>
      <c r="D264" s="1535"/>
      <c r="E264" s="1535"/>
      <c r="F264" s="1535"/>
      <c r="G264" s="1535"/>
      <c r="H264" s="1535"/>
    </row>
    <row r="265" spans="1:8" ht="15.6">
      <c r="A265" s="769"/>
      <c r="B265" s="769"/>
      <c r="C265" s="769"/>
      <c r="D265" s="769"/>
      <c r="E265" s="769"/>
      <c r="F265" s="769"/>
      <c r="G265" s="769"/>
      <c r="H265" s="769"/>
    </row>
    <row r="266" spans="1:8" ht="15.6">
      <c r="A266" s="769"/>
      <c r="B266" s="769"/>
      <c r="C266" s="769"/>
      <c r="D266" s="769"/>
      <c r="E266" s="769"/>
      <c r="F266" s="769"/>
      <c r="G266" s="769"/>
      <c r="H266" s="769"/>
    </row>
    <row r="267" spans="1:8" ht="15.6">
      <c r="A267" s="1516" t="s">
        <v>3</v>
      </c>
      <c r="B267" s="1516" t="s">
        <v>4</v>
      </c>
      <c r="C267" s="1516" t="s">
        <v>5</v>
      </c>
      <c r="D267" s="1516" t="s">
        <v>6</v>
      </c>
      <c r="E267" s="1516" t="s">
        <v>7</v>
      </c>
      <c r="F267" s="770" t="s">
        <v>8</v>
      </c>
      <c r="G267" s="770" t="s">
        <v>9</v>
      </c>
      <c r="H267" s="770" t="s">
        <v>10</v>
      </c>
    </row>
    <row r="268" spans="1:8" ht="15.6">
      <c r="A268" s="1517"/>
      <c r="B268" s="1517"/>
      <c r="C268" s="1517"/>
      <c r="D268" s="1517"/>
      <c r="E268" s="1517"/>
      <c r="F268" s="771" t="s">
        <v>11</v>
      </c>
      <c r="G268" s="771" t="s">
        <v>11</v>
      </c>
      <c r="H268" s="771" t="s">
        <v>11</v>
      </c>
    </row>
    <row r="269" spans="1:8" ht="15.6">
      <c r="A269" s="770" t="s">
        <v>12</v>
      </c>
      <c r="B269" s="772" t="s">
        <v>364</v>
      </c>
      <c r="C269" s="773"/>
      <c r="D269" s="774"/>
      <c r="E269" s="774"/>
      <c r="F269" s="774"/>
      <c r="G269" s="775"/>
      <c r="H269" s="776"/>
    </row>
    <row r="270" spans="1:8" ht="18">
      <c r="A270" s="777"/>
      <c r="B270" s="778" t="s">
        <v>1355</v>
      </c>
      <c r="C270" s="779">
        <v>1</v>
      </c>
      <c r="D270" s="780" t="s">
        <v>21</v>
      </c>
      <c r="E270" s="780" t="s">
        <v>16</v>
      </c>
      <c r="F270" s="781">
        <v>24500000</v>
      </c>
      <c r="G270" s="781">
        <f>F270*C270</f>
        <v>24500000</v>
      </c>
      <c r="H270" s="831"/>
    </row>
    <row r="271" spans="1:8" ht="18">
      <c r="A271" s="777"/>
      <c r="B271" s="778" t="s">
        <v>1356</v>
      </c>
      <c r="C271" s="779"/>
      <c r="D271" s="780"/>
      <c r="E271" s="780"/>
      <c r="F271" s="781"/>
      <c r="G271" s="781"/>
      <c r="H271" s="809"/>
    </row>
    <row r="272" spans="1:8" ht="18">
      <c r="A272" s="777"/>
      <c r="B272" s="778" t="s">
        <v>1357</v>
      </c>
      <c r="C272" s="779"/>
      <c r="D272" s="780"/>
      <c r="E272" s="780"/>
      <c r="F272" s="781"/>
      <c r="G272" s="781"/>
      <c r="H272" s="809"/>
    </row>
    <row r="273" spans="1:8" ht="15.6">
      <c r="A273" s="814"/>
      <c r="B273" s="806"/>
      <c r="C273" s="815"/>
      <c r="D273" s="816"/>
      <c r="E273" s="816"/>
      <c r="F273" s="817"/>
      <c r="G273" s="817"/>
      <c r="H273" s="818">
        <f>SUM(G269:G273)</f>
        <v>24500000</v>
      </c>
    </row>
    <row r="274" spans="1:8" ht="15.6">
      <c r="A274" s="786" t="s">
        <v>18</v>
      </c>
      <c r="B274" s="787" t="s">
        <v>19</v>
      </c>
      <c r="C274" s="782"/>
      <c r="D274" s="780"/>
      <c r="E274" s="780"/>
      <c r="F274" s="778"/>
      <c r="G274" s="788"/>
      <c r="H274" s="789"/>
    </row>
    <row r="275" spans="1:8" ht="15.6">
      <c r="A275" s="790"/>
      <c r="B275" s="778" t="s">
        <v>1358</v>
      </c>
      <c r="C275" s="779">
        <v>1</v>
      </c>
      <c r="D275" s="791" t="s">
        <v>21</v>
      </c>
      <c r="E275" s="780" t="s">
        <v>16</v>
      </c>
      <c r="F275" s="789">
        <v>1500000</v>
      </c>
      <c r="G275" s="788">
        <f>F275*C275</f>
        <v>1500000</v>
      </c>
      <c r="H275" s="789"/>
    </row>
    <row r="276" spans="1:8" ht="15.6">
      <c r="A276" s="790"/>
      <c r="B276" s="778" t="s">
        <v>1359</v>
      </c>
      <c r="C276" s="779">
        <v>1</v>
      </c>
      <c r="D276" s="780" t="s">
        <v>21</v>
      </c>
      <c r="E276" s="780" t="s">
        <v>16</v>
      </c>
      <c r="F276" s="788">
        <v>100000</v>
      </c>
      <c r="G276" s="788">
        <f>F276*C276</f>
        <v>100000</v>
      </c>
      <c r="H276" s="789"/>
    </row>
    <row r="277" spans="1:8" ht="15.6">
      <c r="A277" s="790"/>
      <c r="B277" s="778"/>
      <c r="C277" s="779"/>
      <c r="D277" s="780"/>
      <c r="E277" s="780"/>
      <c r="F277" s="789"/>
      <c r="G277" s="788"/>
      <c r="H277" s="789"/>
    </row>
    <row r="278" spans="1:8" ht="15.6">
      <c r="A278" s="790"/>
      <c r="B278" s="777"/>
      <c r="C278" s="788"/>
      <c r="D278" s="780"/>
      <c r="E278" s="780"/>
      <c r="F278" s="788"/>
      <c r="G278" s="788"/>
      <c r="H278" s="789"/>
    </row>
    <row r="279" spans="1:8" ht="15.6">
      <c r="A279" s="793"/>
      <c r="B279" s="783"/>
      <c r="C279" s="794"/>
      <c r="D279" s="795"/>
      <c r="E279" s="811"/>
      <c r="F279" s="811" t="s">
        <v>25</v>
      </c>
      <c r="G279" s="813">
        <f>SUM(G275:G278)</f>
        <v>1600000</v>
      </c>
      <c r="H279" s="810"/>
    </row>
    <row r="280" spans="1:8" ht="15.6">
      <c r="A280" s="820"/>
      <c r="B280" s="821"/>
      <c r="C280" s="822"/>
      <c r="D280" s="822"/>
      <c r="E280" s="823"/>
      <c r="F280" s="819" t="s">
        <v>1151</v>
      </c>
      <c r="G280" s="824">
        <f>G279/10</f>
        <v>160000</v>
      </c>
      <c r="H280" s="825"/>
    </row>
    <row r="281" spans="1:8" ht="15.6">
      <c r="A281" s="796"/>
      <c r="B281" s="797"/>
      <c r="C281" s="784"/>
      <c r="D281" s="784"/>
      <c r="E281" s="785"/>
      <c r="F281" s="812"/>
      <c r="G281" s="798"/>
      <c r="H281" s="826">
        <f>G279+G280</f>
        <v>1760000</v>
      </c>
    </row>
    <row r="282" spans="1:8" ht="15.6">
      <c r="A282" s="820"/>
      <c r="B282" s="821"/>
      <c r="C282" s="822"/>
      <c r="D282" s="822"/>
      <c r="E282" s="823"/>
      <c r="F282" s="819"/>
      <c r="G282" s="824"/>
      <c r="H282" s="827"/>
    </row>
    <row r="283" spans="1:8" ht="15.6">
      <c r="A283" s="799"/>
      <c r="B283" s="800"/>
      <c r="C283" s="800"/>
      <c r="D283" s="800"/>
      <c r="E283" s="800"/>
      <c r="F283" s="801"/>
      <c r="G283" s="828" t="s">
        <v>28</v>
      </c>
      <c r="H283" s="775">
        <f>H281+H273</f>
        <v>26260000</v>
      </c>
    </row>
    <row r="284" spans="1:8" ht="15.6">
      <c r="A284" s="802"/>
      <c r="B284" s="803"/>
      <c r="C284" s="804"/>
      <c r="D284" s="804"/>
      <c r="E284" s="804"/>
      <c r="F284" s="805"/>
      <c r="G284" s="829" t="s">
        <v>30</v>
      </c>
      <c r="H284" s="807">
        <f>ROUND(H283,-3)</f>
        <v>26260000</v>
      </c>
    </row>
    <row r="285" spans="1:8" ht="15.6">
      <c r="A285" s="49"/>
      <c r="B285" s="49"/>
      <c r="C285" s="49"/>
      <c r="D285" s="49"/>
      <c r="E285" s="49"/>
      <c r="F285" s="49"/>
      <c r="G285" s="49"/>
      <c r="H285" s="50"/>
    </row>
    <row r="286" spans="1:8" ht="18">
      <c r="A286" s="768" t="s">
        <v>1150</v>
      </c>
      <c r="B286" s="49"/>
      <c r="C286" s="49"/>
      <c r="D286" s="49"/>
      <c r="E286" s="49"/>
      <c r="F286" s="49"/>
      <c r="G286" s="49"/>
      <c r="H286" s="50"/>
    </row>
    <row r="287" spans="1:8" ht="15.6">
      <c r="A287" s="49"/>
      <c r="B287" s="962" t="s">
        <v>1396</v>
      </c>
      <c r="C287" s="49"/>
      <c r="D287" s="49"/>
      <c r="E287" s="49"/>
      <c r="F287" s="49"/>
      <c r="G287" s="49"/>
      <c r="H287" s="50"/>
    </row>
    <row r="288" spans="1:8" ht="15.6">
      <c r="A288" s="49"/>
      <c r="B288" s="49"/>
      <c r="C288" s="49"/>
      <c r="D288" s="49"/>
      <c r="E288" s="49"/>
      <c r="F288" s="49"/>
      <c r="G288" s="49"/>
      <c r="H288" s="50"/>
    </row>
    <row r="289" spans="1:8" ht="15.6">
      <c r="A289" s="51"/>
      <c r="B289" s="51"/>
      <c r="C289" s="51"/>
      <c r="D289" s="51"/>
      <c r="E289" s="51"/>
      <c r="F289" s="51"/>
      <c r="G289" s="1509" t="s">
        <v>1395</v>
      </c>
      <c r="H289" s="1509"/>
    </row>
    <row r="290" spans="1:8" ht="15.6">
      <c r="A290" s="1509" t="s">
        <v>31</v>
      </c>
      <c r="B290" s="1509"/>
      <c r="C290" s="1509" t="s">
        <v>32</v>
      </c>
      <c r="D290" s="1509"/>
      <c r="E290" s="1509"/>
      <c r="F290" s="51"/>
      <c r="G290" s="1509" t="s">
        <v>33</v>
      </c>
      <c r="H290" s="1509"/>
    </row>
    <row r="291" spans="1:8" ht="15.6">
      <c r="A291" s="51"/>
      <c r="B291" s="51"/>
      <c r="C291" s="51"/>
      <c r="D291" s="51"/>
      <c r="E291" s="51"/>
      <c r="F291" s="51"/>
      <c r="G291" s="51"/>
      <c r="H291" s="51"/>
    </row>
    <row r="292" spans="1:8" ht="15.6">
      <c r="A292" s="51"/>
      <c r="B292" s="51"/>
      <c r="C292" s="51"/>
      <c r="D292" s="51"/>
      <c r="E292" s="51"/>
      <c r="F292" s="51"/>
      <c r="G292" s="51"/>
      <c r="H292" s="51"/>
    </row>
    <row r="293" spans="1:8" ht="15.6">
      <c r="A293" s="51"/>
      <c r="B293" s="51"/>
      <c r="C293" s="51"/>
      <c r="D293" s="51"/>
      <c r="E293" s="51"/>
      <c r="F293" s="51"/>
      <c r="G293" s="51"/>
      <c r="H293" s="51"/>
    </row>
    <row r="294" spans="1:8" ht="15.6">
      <c r="A294" s="1512" t="s">
        <v>34</v>
      </c>
      <c r="B294" s="1512"/>
      <c r="C294" s="1512" t="s">
        <v>35</v>
      </c>
      <c r="D294" s="1512"/>
      <c r="E294" s="1512"/>
      <c r="F294" s="51"/>
      <c r="G294" s="1512" t="s">
        <v>36</v>
      </c>
      <c r="H294" s="1512"/>
    </row>
    <row r="295" spans="1:8" ht="15.6">
      <c r="A295" s="1509" t="s">
        <v>37</v>
      </c>
      <c r="B295" s="1509"/>
      <c r="C295" s="1509" t="s">
        <v>38</v>
      </c>
      <c r="D295" s="1509"/>
      <c r="E295" s="1509"/>
      <c r="F295" s="51"/>
      <c r="G295" s="1509" t="s">
        <v>39</v>
      </c>
      <c r="H295" s="1509"/>
    </row>
    <row r="296" spans="1:8" ht="15.6">
      <c r="A296" s="808"/>
      <c r="B296" s="808"/>
      <c r="C296" s="808"/>
      <c r="D296" s="808"/>
      <c r="E296" s="808"/>
      <c r="F296" s="808"/>
      <c r="G296" s="808"/>
      <c r="H296" s="808"/>
    </row>
    <row r="297" spans="1:8" ht="28.8">
      <c r="A297" s="597"/>
      <c r="B297" s="597"/>
      <c r="C297" s="1513" t="s">
        <v>235</v>
      </c>
      <c r="D297" s="1513"/>
      <c r="E297" s="1513"/>
      <c r="F297" s="1513"/>
      <c r="G297" s="1513"/>
      <c r="H297" s="1513"/>
    </row>
    <row r="298" spans="1:8" ht="28.8">
      <c r="A298" s="597"/>
      <c r="B298" s="597"/>
      <c r="C298" s="1513" t="s">
        <v>1340</v>
      </c>
      <c r="D298" s="1513"/>
      <c r="E298" s="1513"/>
      <c r="F298" s="1513"/>
      <c r="G298" s="1513"/>
      <c r="H298" s="1513"/>
    </row>
    <row r="299" spans="1:8" ht="21">
      <c r="A299" s="830"/>
      <c r="B299" s="830"/>
      <c r="C299" s="1535" t="s">
        <v>259</v>
      </c>
      <c r="D299" s="1535"/>
      <c r="E299" s="1535"/>
      <c r="F299" s="1535"/>
      <c r="G299" s="1535"/>
      <c r="H299" s="1535"/>
    </row>
    <row r="300" spans="1:8" ht="15.6">
      <c r="A300" s="769"/>
      <c r="B300" s="769"/>
      <c r="C300" s="769"/>
      <c r="D300" s="769"/>
      <c r="E300" s="769"/>
      <c r="F300" s="769"/>
      <c r="G300" s="769"/>
      <c r="H300" s="769"/>
    </row>
    <row r="301" spans="1:8" ht="15.6">
      <c r="A301" s="769"/>
      <c r="B301" s="769"/>
      <c r="C301" s="769"/>
      <c r="D301" s="769"/>
      <c r="E301" s="769"/>
      <c r="F301" s="769"/>
      <c r="G301" s="769"/>
      <c r="H301" s="769"/>
    </row>
    <row r="302" spans="1:8" ht="15.6">
      <c r="A302" s="1516" t="s">
        <v>3</v>
      </c>
      <c r="B302" s="1516" t="s">
        <v>4</v>
      </c>
      <c r="C302" s="1516" t="s">
        <v>5</v>
      </c>
      <c r="D302" s="1516" t="s">
        <v>6</v>
      </c>
      <c r="E302" s="1516" t="s">
        <v>7</v>
      </c>
      <c r="F302" s="770" t="s">
        <v>8</v>
      </c>
      <c r="G302" s="770" t="s">
        <v>9</v>
      </c>
      <c r="H302" s="770" t="s">
        <v>10</v>
      </c>
    </row>
    <row r="303" spans="1:8" ht="15.6">
      <c r="A303" s="1517"/>
      <c r="B303" s="1517"/>
      <c r="C303" s="1517"/>
      <c r="D303" s="1517"/>
      <c r="E303" s="1517"/>
      <c r="F303" s="771" t="s">
        <v>11</v>
      </c>
      <c r="G303" s="771" t="s">
        <v>11</v>
      </c>
      <c r="H303" s="771" t="s">
        <v>11</v>
      </c>
    </row>
    <row r="304" spans="1:8" ht="15.6">
      <c r="A304" s="770" t="s">
        <v>12</v>
      </c>
      <c r="B304" s="772" t="s">
        <v>364</v>
      </c>
      <c r="C304" s="773"/>
      <c r="D304" s="774"/>
      <c r="E304" s="774"/>
      <c r="F304" s="774"/>
      <c r="G304" s="775"/>
      <c r="H304" s="776"/>
    </row>
    <row r="305" spans="1:8" ht="18">
      <c r="A305" s="777"/>
      <c r="B305" s="778" t="s">
        <v>1398</v>
      </c>
      <c r="C305" s="779">
        <v>1</v>
      </c>
      <c r="D305" s="780" t="s">
        <v>15</v>
      </c>
      <c r="E305" s="780" t="s">
        <v>16</v>
      </c>
      <c r="F305" s="781">
        <v>4600000</v>
      </c>
      <c r="G305" s="781">
        <f t="shared" ref="G305:G310" si="0">F305*C305</f>
        <v>4600000</v>
      </c>
      <c r="H305" s="831"/>
    </row>
    <row r="306" spans="1:8" ht="18">
      <c r="A306" s="777"/>
      <c r="B306" s="778" t="s">
        <v>1341</v>
      </c>
      <c r="C306" s="779">
        <v>12</v>
      </c>
      <c r="D306" s="780" t="s">
        <v>15</v>
      </c>
      <c r="E306" s="780" t="s">
        <v>16</v>
      </c>
      <c r="F306" s="781">
        <v>26000</v>
      </c>
      <c r="G306" s="781">
        <f t="shared" si="0"/>
        <v>312000</v>
      </c>
      <c r="H306" s="809"/>
    </row>
    <row r="307" spans="1:8" ht="18">
      <c r="A307" s="777"/>
      <c r="B307" s="778" t="s">
        <v>1342</v>
      </c>
      <c r="C307" s="779">
        <v>36</v>
      </c>
      <c r="D307" s="780" t="s">
        <v>15</v>
      </c>
      <c r="E307" s="780" t="s">
        <v>16</v>
      </c>
      <c r="F307" s="781">
        <v>3500</v>
      </c>
      <c r="G307" s="781">
        <f t="shared" si="0"/>
        <v>126000</v>
      </c>
      <c r="H307" s="809"/>
    </row>
    <row r="308" spans="1:8" ht="18">
      <c r="A308" s="777"/>
      <c r="B308" s="778" t="s">
        <v>1343</v>
      </c>
      <c r="C308" s="779">
        <v>2</v>
      </c>
      <c r="D308" s="780" t="s">
        <v>245</v>
      </c>
      <c r="E308" s="780" t="s">
        <v>16</v>
      </c>
      <c r="F308" s="781">
        <v>220000</v>
      </c>
      <c r="G308" s="781">
        <f t="shared" si="0"/>
        <v>440000</v>
      </c>
      <c r="H308" s="809"/>
    </row>
    <row r="309" spans="1:8" ht="18">
      <c r="A309" s="777"/>
      <c r="B309" s="778" t="s">
        <v>1344</v>
      </c>
      <c r="C309" s="779">
        <v>0.3</v>
      </c>
      <c r="D309" s="780" t="s">
        <v>245</v>
      </c>
      <c r="E309" s="780" t="s">
        <v>16</v>
      </c>
      <c r="F309" s="781">
        <v>650000</v>
      </c>
      <c r="G309" s="781">
        <f t="shared" si="0"/>
        <v>195000</v>
      </c>
      <c r="H309" s="809"/>
    </row>
    <row r="310" spans="1:8" ht="18">
      <c r="A310" s="777"/>
      <c r="B310" s="778" t="s">
        <v>1345</v>
      </c>
      <c r="C310" s="779">
        <v>2</v>
      </c>
      <c r="D310" s="780" t="s">
        <v>15</v>
      </c>
      <c r="E310" s="780" t="s">
        <v>16</v>
      </c>
      <c r="F310" s="781">
        <v>450000</v>
      </c>
      <c r="G310" s="781">
        <f t="shared" si="0"/>
        <v>900000</v>
      </c>
      <c r="H310" s="809"/>
    </row>
    <row r="311" spans="1:8" ht="15.6">
      <c r="A311" s="814"/>
      <c r="B311" s="806"/>
      <c r="C311" s="815"/>
      <c r="D311" s="816"/>
      <c r="E311" s="816"/>
      <c r="F311" s="817"/>
      <c r="G311" s="817"/>
      <c r="H311" s="818">
        <f>SUM(G304:G311)</f>
        <v>6573000</v>
      </c>
    </row>
    <row r="312" spans="1:8" ht="15.6">
      <c r="A312" s="786" t="s">
        <v>18</v>
      </c>
      <c r="B312" s="787" t="s">
        <v>369</v>
      </c>
      <c r="C312" s="782"/>
      <c r="D312" s="780"/>
      <c r="E312" s="780"/>
      <c r="F312" s="778"/>
      <c r="G312" s="788"/>
      <c r="H312" s="789"/>
    </row>
    <row r="313" spans="1:8" ht="15.6">
      <c r="A313" s="790"/>
      <c r="B313" s="778" t="s">
        <v>1346</v>
      </c>
      <c r="C313" s="779">
        <v>2</v>
      </c>
      <c r="D313" s="791" t="s">
        <v>15</v>
      </c>
      <c r="E313" s="780" t="s">
        <v>16</v>
      </c>
      <c r="F313" s="789">
        <v>1445499</v>
      </c>
      <c r="G313" s="788">
        <f t="shared" ref="G313:G319" si="1">F313*C313</f>
        <v>2890998</v>
      </c>
      <c r="H313" s="789"/>
    </row>
    <row r="314" spans="1:8" ht="15.6">
      <c r="A314" s="790"/>
      <c r="B314" s="778" t="s">
        <v>1347</v>
      </c>
      <c r="C314" s="779">
        <v>1</v>
      </c>
      <c r="D314" s="780" t="s">
        <v>15</v>
      </c>
      <c r="E314" s="780" t="s">
        <v>51</v>
      </c>
      <c r="F314" s="788">
        <v>250000</v>
      </c>
      <c r="G314" s="788">
        <f t="shared" si="1"/>
        <v>250000</v>
      </c>
      <c r="H314" s="789"/>
    </row>
    <row r="315" spans="1:8" ht="15.6">
      <c r="A315" s="790"/>
      <c r="B315" s="778" t="s">
        <v>1348</v>
      </c>
      <c r="C315" s="779">
        <v>2</v>
      </c>
      <c r="D315" s="780" t="s">
        <v>15</v>
      </c>
      <c r="E315" s="780" t="s">
        <v>16</v>
      </c>
      <c r="F315" s="789">
        <v>1445499</v>
      </c>
      <c r="G315" s="788">
        <f t="shared" si="1"/>
        <v>2890998</v>
      </c>
      <c r="H315" s="789"/>
    </row>
    <row r="316" spans="1:8" ht="15.6">
      <c r="A316" s="790"/>
      <c r="B316" s="778" t="s">
        <v>371</v>
      </c>
      <c r="C316" s="779">
        <v>2</v>
      </c>
      <c r="D316" s="780" t="s">
        <v>15</v>
      </c>
      <c r="E316" s="780" t="s">
        <v>16</v>
      </c>
      <c r="F316" s="789">
        <v>443812.5</v>
      </c>
      <c r="G316" s="788">
        <f t="shared" si="1"/>
        <v>887625</v>
      </c>
      <c r="H316" s="789"/>
    </row>
    <row r="317" spans="1:8" ht="15.6">
      <c r="A317" s="790"/>
      <c r="B317" s="778" t="s">
        <v>1350</v>
      </c>
      <c r="C317" s="961">
        <v>3.7679999999999998</v>
      </c>
      <c r="D317" s="780" t="s">
        <v>245</v>
      </c>
      <c r="E317" s="780" t="s">
        <v>82</v>
      </c>
      <c r="F317" s="788">
        <v>185147.93</v>
      </c>
      <c r="G317" s="788">
        <f t="shared" si="1"/>
        <v>697637.40023999999</v>
      </c>
      <c r="H317" s="810"/>
    </row>
    <row r="318" spans="1:8" ht="15.6">
      <c r="A318" s="790"/>
      <c r="B318" s="778" t="s">
        <v>1349</v>
      </c>
      <c r="C318" s="961">
        <v>1.8839999999999999</v>
      </c>
      <c r="D318" s="780" t="s">
        <v>245</v>
      </c>
      <c r="E318" s="780" t="s">
        <v>82</v>
      </c>
      <c r="F318" s="788">
        <v>49076.36</v>
      </c>
      <c r="G318" s="788">
        <f t="shared" si="1"/>
        <v>92459.862240000002</v>
      </c>
      <c r="H318" s="810"/>
    </row>
    <row r="319" spans="1:8" ht="15.6">
      <c r="A319" s="790"/>
      <c r="B319" s="778" t="s">
        <v>1352</v>
      </c>
      <c r="C319" s="779">
        <v>1</v>
      </c>
      <c r="D319" s="780" t="s">
        <v>21</v>
      </c>
      <c r="E319" s="780" t="s">
        <v>51</v>
      </c>
      <c r="F319" s="788">
        <v>200000</v>
      </c>
      <c r="G319" s="788">
        <f t="shared" si="1"/>
        <v>200000</v>
      </c>
      <c r="H319" s="810"/>
    </row>
    <row r="320" spans="1:8" ht="15.6">
      <c r="A320" s="790"/>
      <c r="B320" s="777"/>
      <c r="C320" s="788"/>
      <c r="D320" s="780"/>
      <c r="E320" s="780"/>
      <c r="F320" s="788"/>
      <c r="G320" s="788"/>
      <c r="H320" s="789"/>
    </row>
    <row r="321" spans="1:8" ht="15.6">
      <c r="A321" s="793"/>
      <c r="B321" s="783"/>
      <c r="C321" s="794"/>
      <c r="D321" s="795"/>
      <c r="E321" s="811"/>
      <c r="F321" s="811" t="s">
        <v>25</v>
      </c>
      <c r="G321" s="813">
        <f>SUM(G313:G320)</f>
        <v>7909718.26248</v>
      </c>
      <c r="H321" s="810"/>
    </row>
    <row r="322" spans="1:8" ht="15.6">
      <c r="A322" s="820"/>
      <c r="B322" s="821"/>
      <c r="C322" s="822"/>
      <c r="D322" s="822"/>
      <c r="E322" s="823"/>
      <c r="F322" s="819" t="s">
        <v>1151</v>
      </c>
      <c r="G322" s="824">
        <f>G321/10</f>
        <v>790971.82624800003</v>
      </c>
      <c r="H322" s="825"/>
    </row>
    <row r="323" spans="1:8" ht="15.6">
      <c r="A323" s="796"/>
      <c r="B323" s="797"/>
      <c r="C323" s="784"/>
      <c r="D323" s="784"/>
      <c r="E323" s="785"/>
      <c r="F323" s="812"/>
      <c r="G323" s="798"/>
      <c r="H323" s="826">
        <f>G321+G322</f>
        <v>8700690.0887279995</v>
      </c>
    </row>
    <row r="324" spans="1:8" ht="15.6">
      <c r="A324" s="820"/>
      <c r="B324" s="821"/>
      <c r="C324" s="822"/>
      <c r="D324" s="822"/>
      <c r="E324" s="823"/>
      <c r="F324" s="819"/>
      <c r="G324" s="824"/>
      <c r="H324" s="827"/>
    </row>
    <row r="325" spans="1:8" ht="15.6">
      <c r="A325" s="799"/>
      <c r="B325" s="800"/>
      <c r="C325" s="800"/>
      <c r="D325" s="800"/>
      <c r="E325" s="800"/>
      <c r="F325" s="801"/>
      <c r="G325" s="828" t="s">
        <v>28</v>
      </c>
      <c r="H325" s="775">
        <f>H323+H311</f>
        <v>15273690.088727999</v>
      </c>
    </row>
    <row r="326" spans="1:8" ht="15.6">
      <c r="A326" s="802"/>
      <c r="B326" s="803"/>
      <c r="C326" s="804"/>
      <c r="D326" s="804"/>
      <c r="E326" s="804"/>
      <c r="F326" s="805"/>
      <c r="G326" s="829" t="s">
        <v>30</v>
      </c>
      <c r="H326" s="807">
        <f>ROUND(H325,-3)</f>
        <v>15274000</v>
      </c>
    </row>
    <row r="327" spans="1:8" ht="15.6">
      <c r="A327" s="49"/>
      <c r="B327" s="49"/>
      <c r="C327" s="49"/>
      <c r="D327" s="49"/>
      <c r="E327" s="49"/>
      <c r="F327" s="49"/>
      <c r="G327" s="49"/>
      <c r="H327" s="50"/>
    </row>
    <row r="328" spans="1:8" ht="18">
      <c r="A328" s="768" t="s">
        <v>1150</v>
      </c>
      <c r="B328" s="49"/>
      <c r="C328" s="49"/>
      <c r="D328" s="49"/>
      <c r="E328" s="49"/>
      <c r="F328" s="49"/>
      <c r="G328" s="49"/>
      <c r="H328" s="50"/>
    </row>
    <row r="329" spans="1:8" ht="18">
      <c r="A329" s="49"/>
      <c r="B329" s="957" t="s">
        <v>1397</v>
      </c>
      <c r="C329" s="49"/>
      <c r="D329" s="49"/>
      <c r="E329" s="49"/>
      <c r="F329" s="49"/>
      <c r="G329" s="49"/>
      <c r="H329" s="50"/>
    </row>
    <row r="330" spans="1:8" ht="15.6">
      <c r="A330" s="49"/>
      <c r="B330" s="49"/>
      <c r="C330" s="49"/>
      <c r="D330" s="49"/>
      <c r="E330" s="49"/>
      <c r="F330" s="49"/>
      <c r="G330" s="49"/>
      <c r="H330" s="50"/>
    </row>
    <row r="331" spans="1:8" ht="15.6">
      <c r="A331" s="51"/>
      <c r="B331" s="51"/>
      <c r="C331" s="51"/>
      <c r="D331" s="51"/>
      <c r="E331" s="51"/>
      <c r="F331" s="51"/>
      <c r="G331" s="1509" t="s">
        <v>1395</v>
      </c>
      <c r="H331" s="1509"/>
    </row>
    <row r="332" spans="1:8" ht="15.6">
      <c r="A332" s="1509" t="s">
        <v>31</v>
      </c>
      <c r="B332" s="1509"/>
      <c r="C332" s="1509" t="s">
        <v>32</v>
      </c>
      <c r="D332" s="1509"/>
      <c r="E332" s="1509"/>
      <c r="F332" s="51"/>
      <c r="G332" s="1509" t="s">
        <v>33</v>
      </c>
      <c r="H332" s="1509"/>
    </row>
    <row r="333" spans="1:8" ht="15.6">
      <c r="A333" s="51"/>
      <c r="B333" s="51"/>
      <c r="C333" s="51"/>
      <c r="D333" s="51"/>
      <c r="E333" s="51"/>
      <c r="F333" s="51"/>
      <c r="G333" s="51"/>
      <c r="H333" s="51"/>
    </row>
    <row r="334" spans="1:8" ht="15.6">
      <c r="A334" s="51"/>
      <c r="B334" s="51"/>
      <c r="C334" s="51"/>
      <c r="D334" s="51"/>
      <c r="E334" s="51"/>
      <c r="F334" s="51"/>
      <c r="G334" s="51"/>
      <c r="H334" s="51"/>
    </row>
    <row r="335" spans="1:8" ht="15.6">
      <c r="A335" s="51"/>
      <c r="B335" s="51"/>
      <c r="C335" s="51"/>
      <c r="D335" s="51"/>
      <c r="E335" s="51"/>
      <c r="F335" s="51"/>
      <c r="G335" s="51"/>
      <c r="H335" s="51"/>
    </row>
    <row r="336" spans="1:8" ht="15.6">
      <c r="A336" s="1512" t="s">
        <v>34</v>
      </c>
      <c r="B336" s="1512"/>
      <c r="C336" s="1512" t="s">
        <v>35</v>
      </c>
      <c r="D336" s="1512"/>
      <c r="E336" s="1512"/>
      <c r="F336" s="51"/>
      <c r="G336" s="1512" t="s">
        <v>36</v>
      </c>
      <c r="H336" s="1512"/>
    </row>
    <row r="337" spans="1:14" ht="15.6">
      <c r="A337" s="1509" t="s">
        <v>37</v>
      </c>
      <c r="B337" s="1509"/>
      <c r="C337" s="1509" t="s">
        <v>38</v>
      </c>
      <c r="D337" s="1509"/>
      <c r="E337" s="1509"/>
      <c r="F337" s="51"/>
      <c r="G337" s="1509" t="s">
        <v>39</v>
      </c>
      <c r="H337" s="1509"/>
    </row>
    <row r="338" spans="1:14" ht="15.6">
      <c r="A338" s="808"/>
      <c r="B338" s="808"/>
      <c r="C338" s="808"/>
      <c r="D338" s="808"/>
      <c r="E338" s="808"/>
      <c r="F338" s="808"/>
      <c r="G338" s="808"/>
      <c r="H338" s="808"/>
    </row>
    <row r="339" spans="1:14" ht="28.8">
      <c r="A339" s="597"/>
      <c r="B339" s="597"/>
      <c r="C339" s="1513" t="s">
        <v>235</v>
      </c>
      <c r="D339" s="1513"/>
      <c r="E339" s="1513"/>
      <c r="F339" s="1513"/>
      <c r="G339" s="1513"/>
      <c r="H339" s="1513"/>
    </row>
    <row r="340" spans="1:14" ht="28.8">
      <c r="A340" s="597"/>
      <c r="B340" s="597"/>
      <c r="C340" s="1513" t="s">
        <v>1331</v>
      </c>
      <c r="D340" s="1513"/>
      <c r="E340" s="1513"/>
      <c r="F340" s="1513"/>
      <c r="G340" s="1513"/>
      <c r="H340" s="1513"/>
    </row>
    <row r="341" spans="1:14" ht="21">
      <c r="A341" s="830"/>
      <c r="B341" s="830"/>
      <c r="C341" s="1535" t="s">
        <v>887</v>
      </c>
      <c r="D341" s="1535"/>
      <c r="E341" s="1535"/>
      <c r="F341" s="1535"/>
      <c r="G341" s="1535"/>
      <c r="H341" s="1535"/>
    </row>
    <row r="342" spans="1:14" ht="15.6">
      <c r="A342" s="769"/>
      <c r="B342" s="769"/>
      <c r="C342" s="769"/>
      <c r="D342" s="769"/>
      <c r="E342" s="769"/>
      <c r="F342" s="769"/>
      <c r="G342" s="769"/>
      <c r="H342" s="769"/>
    </row>
    <row r="343" spans="1:14" ht="15.6">
      <c r="A343" s="769"/>
      <c r="B343" s="769"/>
      <c r="C343" s="769"/>
      <c r="D343" s="769"/>
      <c r="E343" s="769"/>
      <c r="F343" s="769"/>
      <c r="G343" s="769"/>
      <c r="H343" s="769"/>
      <c r="N343" s="963" t="s">
        <v>1365</v>
      </c>
    </row>
    <row r="344" spans="1:14" ht="15.6">
      <c r="A344" s="1516" t="s">
        <v>3</v>
      </c>
      <c r="B344" s="1516" t="s">
        <v>4</v>
      </c>
      <c r="C344" s="1516" t="s">
        <v>5</v>
      </c>
      <c r="D344" s="1516" t="s">
        <v>6</v>
      </c>
      <c r="E344" s="1516" t="s">
        <v>7</v>
      </c>
      <c r="F344" s="770" t="s">
        <v>8</v>
      </c>
      <c r="G344" s="770" t="s">
        <v>9</v>
      </c>
      <c r="H344" s="770" t="s">
        <v>10</v>
      </c>
    </row>
    <row r="345" spans="1:14" ht="15.6">
      <c r="A345" s="1517"/>
      <c r="B345" s="1517"/>
      <c r="C345" s="1517"/>
      <c r="D345" s="1517"/>
      <c r="E345" s="1517"/>
      <c r="F345" s="771" t="s">
        <v>11</v>
      </c>
      <c r="G345" s="771" t="s">
        <v>11</v>
      </c>
      <c r="H345" s="771" t="s">
        <v>11</v>
      </c>
    </row>
    <row r="346" spans="1:14" ht="15.6">
      <c r="A346" s="770" t="s">
        <v>12</v>
      </c>
      <c r="B346" s="772" t="s">
        <v>364</v>
      </c>
      <c r="C346" s="773"/>
      <c r="D346" s="774"/>
      <c r="E346" s="774"/>
      <c r="F346" s="774"/>
      <c r="G346" s="775"/>
      <c r="H346" s="776"/>
    </row>
    <row r="347" spans="1:14" ht="18">
      <c r="A347" s="777"/>
      <c r="B347" s="778" t="s">
        <v>1332</v>
      </c>
      <c r="C347" s="779">
        <v>1</v>
      </c>
      <c r="D347" s="780" t="s">
        <v>15</v>
      </c>
      <c r="E347" s="780" t="s">
        <v>16</v>
      </c>
      <c r="F347" s="781">
        <v>705000</v>
      </c>
      <c r="G347" s="781">
        <f t="shared" ref="G347:G352" si="2">F347*C347</f>
        <v>705000</v>
      </c>
      <c r="H347" s="831"/>
    </row>
    <row r="348" spans="1:14" ht="18">
      <c r="A348" s="777"/>
      <c r="B348" s="778" t="s">
        <v>1333</v>
      </c>
      <c r="C348" s="779">
        <v>40</v>
      </c>
      <c r="D348" s="780" t="s">
        <v>47</v>
      </c>
      <c r="E348" s="780" t="s">
        <v>16</v>
      </c>
      <c r="F348" s="781">
        <v>35000</v>
      </c>
      <c r="G348" s="781">
        <f t="shared" si="2"/>
        <v>1400000</v>
      </c>
      <c r="H348" s="809"/>
    </row>
    <row r="349" spans="1:14" ht="15.75" customHeight="1">
      <c r="A349" s="777"/>
      <c r="B349" s="778" t="s">
        <v>1334</v>
      </c>
      <c r="C349" s="779">
        <v>2</v>
      </c>
      <c r="D349" s="780" t="s">
        <v>15</v>
      </c>
      <c r="E349" s="780" t="s">
        <v>16</v>
      </c>
      <c r="F349" s="781">
        <v>100000</v>
      </c>
      <c r="G349" s="781">
        <f t="shared" si="2"/>
        <v>200000</v>
      </c>
      <c r="H349" s="809"/>
    </row>
    <row r="350" spans="1:14" ht="18">
      <c r="A350" s="777"/>
      <c r="B350" s="778" t="s">
        <v>1335</v>
      </c>
      <c r="C350" s="779">
        <v>1</v>
      </c>
      <c r="D350" s="780" t="s">
        <v>15</v>
      </c>
      <c r="E350" s="780" t="s">
        <v>16</v>
      </c>
      <c r="F350" s="781">
        <v>100000</v>
      </c>
      <c r="G350" s="781">
        <f t="shared" si="2"/>
        <v>100000</v>
      </c>
      <c r="H350" s="809"/>
    </row>
    <row r="351" spans="1:14" ht="18">
      <c r="A351" s="777"/>
      <c r="B351" s="778" t="s">
        <v>1336</v>
      </c>
      <c r="C351" s="779">
        <v>1</v>
      </c>
      <c r="D351" s="780" t="s">
        <v>15</v>
      </c>
      <c r="E351" s="780" t="s">
        <v>16</v>
      </c>
      <c r="F351" s="781">
        <v>300000</v>
      </c>
      <c r="G351" s="781">
        <f t="shared" si="2"/>
        <v>300000</v>
      </c>
      <c r="H351" s="809"/>
    </row>
    <row r="352" spans="1:14" ht="18">
      <c r="A352" s="777"/>
      <c r="B352" s="778" t="s">
        <v>1337</v>
      </c>
      <c r="C352" s="779">
        <v>1</v>
      </c>
      <c r="D352" s="780" t="s">
        <v>69</v>
      </c>
      <c r="E352" s="780" t="s">
        <v>51</v>
      </c>
      <c r="F352" s="781">
        <v>300000</v>
      </c>
      <c r="G352" s="781">
        <f t="shared" si="2"/>
        <v>300000</v>
      </c>
      <c r="H352" s="809"/>
    </row>
    <row r="353" spans="1:8" ht="15.6">
      <c r="A353" s="814"/>
      <c r="B353" s="806"/>
      <c r="C353" s="815"/>
      <c r="D353" s="816"/>
      <c r="E353" s="816"/>
      <c r="F353" s="817"/>
      <c r="G353" s="817"/>
      <c r="H353" s="818">
        <f>SUM(G346:G353)</f>
        <v>3005000</v>
      </c>
    </row>
    <row r="354" spans="1:8" ht="15.6">
      <c r="A354" s="786" t="s">
        <v>18</v>
      </c>
      <c r="B354" s="787" t="s">
        <v>369</v>
      </c>
      <c r="C354" s="782"/>
      <c r="D354" s="780"/>
      <c r="E354" s="780"/>
      <c r="F354" s="778"/>
      <c r="G354" s="788"/>
      <c r="H354" s="789"/>
    </row>
    <row r="355" spans="1:8" ht="15.6">
      <c r="A355" s="790"/>
      <c r="B355" s="778" t="s">
        <v>1338</v>
      </c>
      <c r="C355" s="779">
        <v>1</v>
      </c>
      <c r="D355" s="791" t="s">
        <v>69</v>
      </c>
      <c r="E355" s="780" t="s">
        <v>51</v>
      </c>
      <c r="F355" s="789">
        <v>1500000</v>
      </c>
      <c r="G355" s="788">
        <f>F355*C355</f>
        <v>1500000</v>
      </c>
      <c r="H355" s="789"/>
    </row>
    <row r="356" spans="1:8" ht="15.6">
      <c r="A356" s="790"/>
      <c r="B356" s="777"/>
      <c r="C356" s="779"/>
      <c r="D356" s="780"/>
      <c r="E356" s="780"/>
      <c r="F356" s="788"/>
      <c r="G356" s="788"/>
      <c r="H356" s="789"/>
    </row>
    <row r="357" spans="1:8" ht="15.6">
      <c r="A357" s="790"/>
      <c r="B357" s="777"/>
      <c r="C357" s="779"/>
      <c r="D357" s="780"/>
      <c r="E357" s="780"/>
      <c r="F357" s="789"/>
      <c r="G357" s="788"/>
      <c r="H357" s="789"/>
    </row>
    <row r="358" spans="1:8" ht="15.6">
      <c r="A358" s="790"/>
      <c r="B358" s="777"/>
      <c r="C358" s="792"/>
      <c r="D358" s="780"/>
      <c r="E358" s="780"/>
      <c r="F358" s="789"/>
      <c r="G358" s="788"/>
      <c r="H358" s="789"/>
    </row>
    <row r="359" spans="1:8" ht="15.6">
      <c r="A359" s="790"/>
      <c r="B359" s="777"/>
      <c r="C359" s="792"/>
      <c r="D359" s="780"/>
      <c r="E359" s="780"/>
      <c r="F359" s="788"/>
      <c r="G359" s="788"/>
      <c r="H359" s="810"/>
    </row>
    <row r="360" spans="1:8" ht="15.6">
      <c r="A360" s="790"/>
      <c r="B360" s="777"/>
      <c r="C360" s="788"/>
      <c r="D360" s="780"/>
      <c r="E360" s="780"/>
      <c r="F360" s="788"/>
      <c r="G360" s="788"/>
      <c r="H360" s="789"/>
    </row>
    <row r="361" spans="1:8" ht="15.6">
      <c r="A361" s="793"/>
      <c r="B361" s="783"/>
      <c r="C361" s="794"/>
      <c r="D361" s="795"/>
      <c r="E361" s="811"/>
      <c r="F361" s="811" t="s">
        <v>25</v>
      </c>
      <c r="G361" s="813">
        <f>SUM(G355:G360)</f>
        <v>1500000</v>
      </c>
      <c r="H361" s="810"/>
    </row>
    <row r="362" spans="1:8" ht="15.6">
      <c r="A362" s="820"/>
      <c r="B362" s="821"/>
      <c r="C362" s="822"/>
      <c r="D362" s="822"/>
      <c r="E362" s="823"/>
      <c r="F362" s="819" t="s">
        <v>1151</v>
      </c>
      <c r="G362" s="824"/>
      <c r="H362" s="825"/>
    </row>
    <row r="363" spans="1:8" ht="15.6">
      <c r="A363" s="796"/>
      <c r="B363" s="797"/>
      <c r="C363" s="784"/>
      <c r="D363" s="784"/>
      <c r="E363" s="785"/>
      <c r="F363" s="812"/>
      <c r="G363" s="798"/>
      <c r="H363" s="826">
        <f>G361+G362</f>
        <v>1500000</v>
      </c>
    </row>
    <row r="364" spans="1:8" ht="15.6">
      <c r="A364" s="820"/>
      <c r="B364" s="821"/>
      <c r="C364" s="822"/>
      <c r="D364" s="822"/>
      <c r="E364" s="823"/>
      <c r="F364" s="819"/>
      <c r="G364" s="824"/>
      <c r="H364" s="827"/>
    </row>
    <row r="365" spans="1:8" ht="15.6">
      <c r="A365" s="799"/>
      <c r="B365" s="800"/>
      <c r="C365" s="800"/>
      <c r="D365" s="800"/>
      <c r="E365" s="800"/>
      <c r="F365" s="801"/>
      <c r="G365" s="828" t="s">
        <v>28</v>
      </c>
      <c r="H365" s="775">
        <f>H363+H353</f>
        <v>4505000</v>
      </c>
    </row>
    <row r="366" spans="1:8" ht="15.6">
      <c r="A366" s="802"/>
      <c r="B366" s="803"/>
      <c r="C366" s="804"/>
      <c r="D366" s="804"/>
      <c r="E366" s="804"/>
      <c r="F366" s="805"/>
      <c r="G366" s="829" t="s">
        <v>30</v>
      </c>
      <c r="H366" s="807">
        <f>ROUND(H365,-3)</f>
        <v>4505000</v>
      </c>
    </row>
    <row r="367" spans="1:8" ht="15.6">
      <c r="A367" s="49"/>
      <c r="B367" s="49"/>
      <c r="C367" s="49"/>
      <c r="D367" s="49"/>
      <c r="E367" s="49"/>
      <c r="F367" s="49"/>
      <c r="G367" s="49"/>
      <c r="H367" s="50"/>
    </row>
    <row r="368" spans="1:8" ht="18">
      <c r="A368" s="768" t="s">
        <v>1150</v>
      </c>
      <c r="B368" s="49"/>
      <c r="C368" s="49"/>
      <c r="D368" s="49"/>
      <c r="E368" s="49"/>
      <c r="F368" s="49"/>
      <c r="G368" s="49"/>
      <c r="H368" s="50"/>
    </row>
    <row r="369" spans="1:8" ht="18">
      <c r="A369" s="49"/>
      <c r="B369" s="762" t="e">
        <f ca="1">PROPER([1]!terbilang(H366)&amp;" rupiah")</f>
        <v>#NAME?</v>
      </c>
      <c r="C369" s="49"/>
      <c r="D369" s="49"/>
      <c r="E369" s="49"/>
      <c r="F369" s="49"/>
      <c r="G369" s="49"/>
      <c r="H369" s="50"/>
    </row>
    <row r="370" spans="1:8" ht="15.6">
      <c r="A370" s="49"/>
      <c r="B370" s="49"/>
      <c r="C370" s="49"/>
      <c r="D370" s="49"/>
      <c r="E370" s="49"/>
      <c r="F370" s="49"/>
      <c r="G370" s="49"/>
      <c r="H370" s="50"/>
    </row>
    <row r="371" spans="1:8" ht="15.6">
      <c r="A371" s="51"/>
      <c r="B371" s="51"/>
      <c r="C371" s="51"/>
      <c r="D371" s="51"/>
      <c r="E371" s="51"/>
      <c r="F371" s="51"/>
      <c r="G371" s="1509" t="s">
        <v>1339</v>
      </c>
      <c r="H371" s="1509"/>
    </row>
    <row r="372" spans="1:8" ht="15.6">
      <c r="A372" s="1509" t="s">
        <v>31</v>
      </c>
      <c r="B372" s="1509"/>
      <c r="C372" s="1509" t="s">
        <v>32</v>
      </c>
      <c r="D372" s="1509"/>
      <c r="E372" s="1509"/>
      <c r="F372" s="51"/>
      <c r="G372" s="1509" t="s">
        <v>33</v>
      </c>
      <c r="H372" s="1509"/>
    </row>
    <row r="373" spans="1:8" ht="15.6">
      <c r="A373" s="51"/>
      <c r="B373" s="51"/>
      <c r="C373" s="51"/>
      <c r="D373" s="51"/>
      <c r="E373" s="51"/>
      <c r="F373" s="51"/>
      <c r="G373" s="51"/>
      <c r="H373" s="51"/>
    </row>
    <row r="374" spans="1:8" ht="15.6">
      <c r="A374" s="51"/>
      <c r="B374" s="51"/>
      <c r="C374" s="51"/>
      <c r="D374" s="51"/>
      <c r="E374" s="51"/>
      <c r="F374" s="51"/>
      <c r="G374" s="51"/>
      <c r="H374" s="51"/>
    </row>
    <row r="375" spans="1:8" ht="15.6">
      <c r="A375" s="51"/>
      <c r="B375" s="51"/>
      <c r="C375" s="51"/>
      <c r="D375" s="51"/>
      <c r="E375" s="51"/>
      <c r="F375" s="51"/>
      <c r="G375" s="51"/>
      <c r="H375" s="51"/>
    </row>
    <row r="376" spans="1:8" ht="15.6">
      <c r="A376" s="1512" t="s">
        <v>34</v>
      </c>
      <c r="B376" s="1512"/>
      <c r="C376" s="1512" t="s">
        <v>35</v>
      </c>
      <c r="D376" s="1512"/>
      <c r="E376" s="1512"/>
      <c r="F376" s="51"/>
      <c r="G376" s="1512" t="s">
        <v>36</v>
      </c>
      <c r="H376" s="1512"/>
    </row>
    <row r="377" spans="1:8" ht="15.6">
      <c r="A377" s="1509" t="s">
        <v>37</v>
      </c>
      <c r="B377" s="1509"/>
      <c r="C377" s="1509" t="s">
        <v>38</v>
      </c>
      <c r="D377" s="1509"/>
      <c r="E377" s="1509"/>
      <c r="F377" s="51"/>
      <c r="G377" s="1509" t="s">
        <v>39</v>
      </c>
      <c r="H377" s="1509"/>
    </row>
    <row r="378" spans="1:8" ht="15.6">
      <c r="A378" s="808"/>
      <c r="B378" s="808"/>
      <c r="C378" s="808"/>
      <c r="D378" s="808"/>
      <c r="E378" s="808"/>
      <c r="F378" s="808"/>
      <c r="G378" s="808"/>
      <c r="H378" s="808"/>
    </row>
    <row r="379" spans="1:8" ht="23.4">
      <c r="A379" s="960"/>
      <c r="B379" s="960"/>
      <c r="C379" s="1537" t="s">
        <v>235</v>
      </c>
      <c r="D379" s="1537"/>
      <c r="E379" s="1537"/>
      <c r="F379" s="1537"/>
      <c r="G379" s="1537"/>
      <c r="H379" s="1537"/>
    </row>
    <row r="380" spans="1:8" ht="23.4">
      <c r="A380" s="960"/>
      <c r="B380" s="960"/>
      <c r="C380" s="1537" t="s">
        <v>1321</v>
      </c>
      <c r="D380" s="1537"/>
      <c r="E380" s="1537"/>
      <c r="F380" s="1537"/>
      <c r="G380" s="1537"/>
      <c r="H380" s="1537"/>
    </row>
    <row r="381" spans="1:8" ht="21">
      <c r="A381" s="830"/>
      <c r="B381" s="830"/>
      <c r="C381" s="1535" t="s">
        <v>1322</v>
      </c>
      <c r="D381" s="1535"/>
      <c r="E381" s="1535"/>
      <c r="F381" s="1535"/>
      <c r="G381" s="1535"/>
      <c r="H381" s="1535"/>
    </row>
    <row r="382" spans="1:8">
      <c r="A382" s="7"/>
      <c r="B382" s="7"/>
      <c r="C382" s="7"/>
      <c r="D382" s="7"/>
      <c r="E382" s="7"/>
      <c r="F382" s="7"/>
      <c r="G382" s="7"/>
      <c r="H382" s="7"/>
    </row>
    <row r="383" spans="1:8" ht="12.6" thickBot="1">
      <c r="A383" s="7"/>
      <c r="B383" s="7"/>
      <c r="C383" s="7"/>
      <c r="D383" s="7"/>
      <c r="E383" s="7"/>
      <c r="F383" s="7"/>
      <c r="G383" s="7"/>
      <c r="H383" s="7"/>
    </row>
    <row r="384" spans="1:8" ht="15.6">
      <c r="A384" s="1538" t="s">
        <v>3</v>
      </c>
      <c r="B384" s="1540" t="s">
        <v>4</v>
      </c>
      <c r="C384" s="1540" t="s">
        <v>5</v>
      </c>
      <c r="D384" s="1540" t="s">
        <v>6</v>
      </c>
      <c r="E384" s="1540" t="s">
        <v>7</v>
      </c>
      <c r="F384" s="8" t="s">
        <v>8</v>
      </c>
      <c r="G384" s="8" t="s">
        <v>9</v>
      </c>
      <c r="H384" s="9" t="s">
        <v>10</v>
      </c>
    </row>
    <row r="385" spans="1:8" ht="15.6">
      <c r="A385" s="1539"/>
      <c r="B385" s="1517"/>
      <c r="C385" s="1517"/>
      <c r="D385" s="1517"/>
      <c r="E385" s="1517"/>
      <c r="F385" s="10" t="s">
        <v>11</v>
      </c>
      <c r="G385" s="10" t="s">
        <v>11</v>
      </c>
      <c r="H385" s="11" t="s">
        <v>11</v>
      </c>
    </row>
    <row r="386" spans="1:8" ht="15.6">
      <c r="A386" s="52"/>
      <c r="B386" s="53"/>
      <c r="C386" s="54"/>
      <c r="D386" s="54"/>
      <c r="E386" s="54"/>
      <c r="F386" s="54"/>
      <c r="G386" s="54"/>
      <c r="H386" s="55"/>
    </row>
    <row r="387" spans="1:8" ht="15.6">
      <c r="A387" s="52" t="s">
        <v>12</v>
      </c>
      <c r="B387" s="53" t="s">
        <v>13</v>
      </c>
      <c r="C387" s="56"/>
      <c r="D387" s="56"/>
      <c r="E387" s="56"/>
      <c r="F387" s="56"/>
      <c r="G387" s="56"/>
      <c r="H387" s="57"/>
    </row>
    <row r="388" spans="1:8" ht="15.6">
      <c r="A388" s="52"/>
      <c r="B388" s="581" t="s">
        <v>1323</v>
      </c>
      <c r="C388" s="59">
        <v>2</v>
      </c>
      <c r="D388" s="56" t="s">
        <v>44</v>
      </c>
      <c r="E388" s="56" t="s">
        <v>16</v>
      </c>
      <c r="F388" s="60">
        <v>1350000</v>
      </c>
      <c r="G388" s="60">
        <f t="shared" ref="G388:G394" si="3">C388*F388</f>
        <v>2700000</v>
      </c>
      <c r="H388" s="62"/>
    </row>
    <row r="389" spans="1:8" ht="15.6">
      <c r="A389" s="52"/>
      <c r="B389" s="581" t="s">
        <v>1360</v>
      </c>
      <c r="C389" s="59">
        <v>2</v>
      </c>
      <c r="D389" s="56" t="s">
        <v>44</v>
      </c>
      <c r="E389" s="56" t="s">
        <v>16</v>
      </c>
      <c r="F389" s="60">
        <v>650000</v>
      </c>
      <c r="G389" s="60">
        <f t="shared" si="3"/>
        <v>1300000</v>
      </c>
      <c r="H389" s="62"/>
    </row>
    <row r="390" spans="1:8" ht="15.6">
      <c r="A390" s="52"/>
      <c r="B390" s="581" t="s">
        <v>1361</v>
      </c>
      <c r="C390" s="59">
        <v>2</v>
      </c>
      <c r="D390" s="56" t="s">
        <v>44</v>
      </c>
      <c r="E390" s="56" t="s">
        <v>16</v>
      </c>
      <c r="F390" s="60">
        <v>250000</v>
      </c>
      <c r="G390" s="60">
        <f t="shared" si="3"/>
        <v>500000</v>
      </c>
      <c r="H390" s="62"/>
    </row>
    <row r="391" spans="1:8" ht="15.6">
      <c r="A391" s="52"/>
      <c r="B391" s="581" t="s">
        <v>1362</v>
      </c>
      <c r="C391" s="59">
        <v>4</v>
      </c>
      <c r="D391" s="56" t="s">
        <v>44</v>
      </c>
      <c r="E391" s="56" t="s">
        <v>16</v>
      </c>
      <c r="F391" s="60">
        <v>850000</v>
      </c>
      <c r="G391" s="60">
        <f t="shared" si="3"/>
        <v>3400000</v>
      </c>
      <c r="H391" s="62"/>
    </row>
    <row r="392" spans="1:8" ht="15.6">
      <c r="A392" s="52"/>
      <c r="B392" s="581" t="s">
        <v>1330</v>
      </c>
      <c r="C392" s="59">
        <v>2</v>
      </c>
      <c r="D392" s="56" t="s">
        <v>44</v>
      </c>
      <c r="E392" s="56" t="s">
        <v>16</v>
      </c>
      <c r="F392" s="60">
        <v>750000</v>
      </c>
      <c r="G392" s="60">
        <f t="shared" si="3"/>
        <v>1500000</v>
      </c>
      <c r="H392" s="62"/>
    </row>
    <row r="393" spans="1:8" ht="15.6">
      <c r="A393" s="52"/>
      <c r="B393" s="581" t="s">
        <v>1363</v>
      </c>
      <c r="C393" s="59">
        <v>3</v>
      </c>
      <c r="D393" s="56" t="s">
        <v>1324</v>
      </c>
      <c r="E393" s="56" t="s">
        <v>16</v>
      </c>
      <c r="F393" s="60">
        <v>350000</v>
      </c>
      <c r="G393" s="60">
        <f t="shared" si="3"/>
        <v>1050000</v>
      </c>
      <c r="H393" s="62"/>
    </row>
    <row r="394" spans="1:8" ht="15.6">
      <c r="A394" s="52"/>
      <c r="B394" s="581" t="s">
        <v>1325</v>
      </c>
      <c r="C394" s="59">
        <v>2</v>
      </c>
      <c r="D394" s="56" t="s">
        <v>44</v>
      </c>
      <c r="E394" s="56" t="s">
        <v>16</v>
      </c>
      <c r="F394" s="60">
        <v>105000</v>
      </c>
      <c r="G394" s="60">
        <f t="shared" si="3"/>
        <v>210000</v>
      </c>
      <c r="H394" s="62"/>
    </row>
    <row r="395" spans="1:8" ht="15.6">
      <c r="A395" s="52"/>
      <c r="B395" s="58" t="s">
        <v>1326</v>
      </c>
      <c r="C395" s="59">
        <v>2</v>
      </c>
      <c r="D395" s="56" t="s">
        <v>44</v>
      </c>
      <c r="E395" s="56" t="s">
        <v>16</v>
      </c>
      <c r="F395" s="60">
        <v>50000</v>
      </c>
      <c r="G395" s="60">
        <f>C395*F395</f>
        <v>100000</v>
      </c>
      <c r="H395" s="62"/>
    </row>
    <row r="396" spans="1:8" ht="15.6">
      <c r="A396" s="52"/>
      <c r="B396" s="58" t="s">
        <v>1327</v>
      </c>
      <c r="C396" s="59">
        <v>12</v>
      </c>
      <c r="D396" s="56" t="s">
        <v>44</v>
      </c>
      <c r="E396" s="56" t="s">
        <v>16</v>
      </c>
      <c r="F396" s="60">
        <v>8000</v>
      </c>
      <c r="G396" s="60">
        <f>C396*F396</f>
        <v>96000</v>
      </c>
      <c r="H396" s="62"/>
    </row>
    <row r="397" spans="1:8" ht="15.6">
      <c r="A397" s="52"/>
      <c r="B397" s="58" t="s">
        <v>1328</v>
      </c>
      <c r="C397" s="59">
        <v>12</v>
      </c>
      <c r="D397" s="56" t="s">
        <v>44</v>
      </c>
      <c r="E397" s="56" t="s">
        <v>16</v>
      </c>
      <c r="F397" s="60">
        <v>8000</v>
      </c>
      <c r="G397" s="60">
        <f>C397*F397</f>
        <v>96000</v>
      </c>
      <c r="H397" s="62"/>
    </row>
    <row r="398" spans="1:8" ht="15.6">
      <c r="A398" s="944"/>
      <c r="B398" s="945"/>
      <c r="C398" s="946"/>
      <c r="D398" s="947"/>
      <c r="E398" s="947"/>
      <c r="F398" s="948"/>
      <c r="G398" s="948"/>
      <c r="H398" s="949">
        <f>SUM(G386:G398)</f>
        <v>10952000</v>
      </c>
    </row>
    <row r="399" spans="1:8" ht="15.6">
      <c r="A399" s="52" t="s">
        <v>18</v>
      </c>
      <c r="B399" s="53" t="s">
        <v>19</v>
      </c>
      <c r="C399" s="59"/>
      <c r="D399" s="56"/>
      <c r="E399" s="56"/>
      <c r="F399" s="60"/>
      <c r="G399" s="60"/>
      <c r="H399" s="61"/>
    </row>
    <row r="400" spans="1:8" ht="15.6">
      <c r="A400" s="52"/>
      <c r="B400" s="581" t="s">
        <v>1329</v>
      </c>
      <c r="C400" s="59">
        <v>6</v>
      </c>
      <c r="D400" s="56" t="s">
        <v>414</v>
      </c>
      <c r="E400" s="56" t="s">
        <v>51</v>
      </c>
      <c r="F400" s="60">
        <v>150000</v>
      </c>
      <c r="G400" s="60">
        <f>C400*F400</f>
        <v>900000</v>
      </c>
      <c r="H400" s="61"/>
    </row>
    <row r="401" spans="1:8" ht="15.6">
      <c r="A401" s="52"/>
      <c r="B401" s="581"/>
      <c r="C401" s="59"/>
      <c r="D401" s="56"/>
      <c r="E401" s="56"/>
      <c r="F401" s="60"/>
      <c r="G401" s="60"/>
      <c r="H401" s="61"/>
    </row>
    <row r="402" spans="1:8" ht="15.6">
      <c r="A402" s="950"/>
      <c r="B402" s="951"/>
      <c r="C402" s="952"/>
      <c r="D402" s="947"/>
      <c r="E402" s="947"/>
      <c r="F402" s="953"/>
      <c r="G402" s="954"/>
      <c r="H402" s="68"/>
    </row>
    <row r="403" spans="1:8" ht="17.399999999999999">
      <c r="A403" s="900"/>
      <c r="B403" s="901"/>
      <c r="C403" s="902"/>
      <c r="D403" s="903"/>
      <c r="E403" s="903"/>
      <c r="F403" s="904" t="s">
        <v>25</v>
      </c>
      <c r="G403" s="884">
        <f>SUM(G400:G402)</f>
        <v>900000</v>
      </c>
      <c r="H403" s="879"/>
    </row>
    <row r="404" spans="1:8" ht="17.399999999999999">
      <c r="A404" s="900"/>
      <c r="B404" s="901"/>
      <c r="C404" s="902"/>
      <c r="D404" s="903"/>
      <c r="E404" s="903"/>
      <c r="F404" s="905" t="s">
        <v>26</v>
      </c>
      <c r="G404" s="884"/>
      <c r="H404" s="879"/>
    </row>
    <row r="405" spans="1:8" ht="17.399999999999999">
      <c r="A405" s="906"/>
      <c r="B405" s="907"/>
      <c r="C405" s="908"/>
      <c r="D405" s="909"/>
      <c r="E405" s="909"/>
      <c r="F405" s="910"/>
      <c r="G405" s="889"/>
      <c r="H405" s="895">
        <f>SUM(G403:G404)</f>
        <v>900000</v>
      </c>
    </row>
    <row r="406" spans="1:8" ht="18" thickBot="1">
      <c r="A406" s="900"/>
      <c r="B406" s="911"/>
      <c r="C406" s="902"/>
      <c r="D406" s="903"/>
      <c r="E406" s="903"/>
      <c r="F406" s="912"/>
      <c r="G406" s="913"/>
      <c r="H406" s="887"/>
    </row>
    <row r="407" spans="1:8" ht="17.399999999999999">
      <c r="A407" s="914"/>
      <c r="B407" s="915"/>
      <c r="C407" s="916"/>
      <c r="D407" s="917"/>
      <c r="E407" s="917"/>
      <c r="F407" s="917"/>
      <c r="G407" s="918" t="s">
        <v>28</v>
      </c>
      <c r="H407" s="919">
        <f>SUM(H398:H405)</f>
        <v>11852000</v>
      </c>
    </row>
    <row r="408" spans="1:8" ht="18" thickBot="1">
      <c r="A408" s="920"/>
      <c r="B408" s="921"/>
      <c r="C408" s="922"/>
      <c r="D408" s="922"/>
      <c r="E408" s="923"/>
      <c r="F408" s="924"/>
      <c r="G408" s="925" t="s">
        <v>30</v>
      </c>
      <c r="H408" s="926">
        <f>ROUND(H407,-3)</f>
        <v>11852000</v>
      </c>
    </row>
    <row r="409" spans="1:8" ht="17.399999999999999">
      <c r="A409" s="901"/>
      <c r="B409" s="901"/>
      <c r="C409" s="955"/>
      <c r="D409" s="955"/>
      <c r="E409" s="903"/>
      <c r="F409" s="904"/>
      <c r="G409" s="901"/>
      <c r="H409" s="956"/>
    </row>
    <row r="410" spans="1:8" ht="17.399999999999999">
      <c r="A410" s="929" t="s">
        <v>549</v>
      </c>
      <c r="B410" s="901"/>
      <c r="C410" s="955"/>
      <c r="D410" s="955"/>
      <c r="E410" s="903"/>
      <c r="F410" s="904"/>
      <c r="G410" s="901"/>
      <c r="H410" s="956"/>
    </row>
    <row r="411" spans="1:8" ht="18">
      <c r="A411" s="901"/>
      <c r="B411" s="957" t="e">
        <f ca="1">PROPER([1]!terbilang(H408)&amp;" rupiah")</f>
        <v>#NAME?</v>
      </c>
      <c r="C411" s="955"/>
      <c r="D411" s="955"/>
      <c r="E411" s="903"/>
      <c r="F411" s="904"/>
      <c r="G411" s="901"/>
      <c r="H411" s="956"/>
    </row>
    <row r="412" spans="1:8" ht="17.399999999999999">
      <c r="A412" s="901"/>
      <c r="B412" s="901"/>
      <c r="C412" s="955"/>
      <c r="D412" s="955"/>
      <c r="E412" s="903"/>
      <c r="F412" s="904"/>
      <c r="G412" s="1577" t="s">
        <v>1364</v>
      </c>
      <c r="H412" s="1577"/>
    </row>
    <row r="413" spans="1:8" ht="18">
      <c r="A413" s="1530" t="s">
        <v>31</v>
      </c>
      <c r="B413" s="1530"/>
      <c r="C413" s="1530" t="s">
        <v>32</v>
      </c>
      <c r="D413" s="1530"/>
      <c r="E413" s="1530"/>
      <c r="F413" s="958"/>
      <c r="G413" s="1530" t="s">
        <v>33</v>
      </c>
      <c r="H413" s="1530"/>
    </row>
    <row r="414" spans="1:8" ht="18">
      <c r="A414" s="958"/>
      <c r="B414" s="958"/>
      <c r="C414" s="958"/>
      <c r="D414" s="958"/>
      <c r="E414" s="958"/>
      <c r="F414" s="958"/>
      <c r="G414" s="958"/>
      <c r="H414" s="958"/>
    </row>
    <row r="415" spans="1:8" ht="18">
      <c r="A415" s="958"/>
      <c r="B415" s="958"/>
      <c r="C415" s="958"/>
      <c r="D415" s="958"/>
      <c r="E415" s="958"/>
      <c r="F415" s="958"/>
      <c r="G415" s="958"/>
      <c r="H415" s="958"/>
    </row>
    <row r="416" spans="1:8" ht="18">
      <c r="A416" s="958"/>
      <c r="B416" s="958"/>
      <c r="C416" s="958"/>
      <c r="D416" s="958"/>
      <c r="E416" s="958"/>
      <c r="F416" s="958"/>
      <c r="G416" s="958"/>
      <c r="H416" s="958"/>
    </row>
    <row r="417" spans="1:8" ht="18">
      <c r="A417" s="958"/>
      <c r="B417" s="958"/>
      <c r="C417" s="958"/>
      <c r="D417" s="958"/>
      <c r="E417" s="958"/>
      <c r="F417" s="958"/>
      <c r="G417" s="958"/>
      <c r="H417" s="958"/>
    </row>
    <row r="418" spans="1:8" ht="18">
      <c r="A418" s="1529" t="s">
        <v>34</v>
      </c>
      <c r="B418" s="1529"/>
      <c r="C418" s="1529" t="s">
        <v>35</v>
      </c>
      <c r="D418" s="1529"/>
      <c r="E418" s="1529"/>
      <c r="F418" s="958"/>
      <c r="G418" s="1529" t="s">
        <v>36</v>
      </c>
      <c r="H418" s="1529"/>
    </row>
    <row r="419" spans="1:8" ht="18">
      <c r="A419" s="1530" t="s">
        <v>37</v>
      </c>
      <c r="B419" s="1530"/>
      <c r="C419" s="1530" t="s">
        <v>38</v>
      </c>
      <c r="D419" s="1530"/>
      <c r="E419" s="1530"/>
      <c r="F419" s="958"/>
      <c r="G419" s="1530" t="s">
        <v>39</v>
      </c>
      <c r="H419" s="1530"/>
    </row>
    <row r="420" spans="1:8" ht="18">
      <c r="A420" s="959"/>
      <c r="B420" s="959"/>
      <c r="C420" s="959"/>
      <c r="D420" s="959"/>
      <c r="E420" s="959"/>
      <c r="F420" s="958"/>
      <c r="G420" s="959"/>
      <c r="H420" s="959"/>
    </row>
    <row r="421" spans="1:8" ht="23.4">
      <c r="A421" s="960"/>
      <c r="B421" s="960"/>
      <c r="C421" s="1537" t="s">
        <v>235</v>
      </c>
      <c r="D421" s="1537"/>
      <c r="E421" s="1537"/>
      <c r="F421" s="1537"/>
      <c r="G421" s="1537"/>
      <c r="H421" s="1537"/>
    </row>
    <row r="422" spans="1:8" ht="23.4">
      <c r="A422" s="960"/>
      <c r="B422" s="960"/>
      <c r="C422" s="1537" t="s">
        <v>1303</v>
      </c>
      <c r="D422" s="1537"/>
      <c r="E422" s="1537"/>
      <c r="F422" s="1537"/>
      <c r="G422" s="1537"/>
      <c r="H422" s="1537"/>
    </row>
    <row r="423" spans="1:8" ht="23.4">
      <c r="A423" s="960"/>
      <c r="B423" s="960"/>
      <c r="C423" s="1537" t="s">
        <v>1301</v>
      </c>
      <c r="D423" s="1537"/>
      <c r="E423" s="1537"/>
      <c r="F423" s="1537"/>
      <c r="G423" s="1537"/>
      <c r="H423" s="1537"/>
    </row>
    <row r="424" spans="1:8" ht="21">
      <c r="A424" s="830"/>
      <c r="B424" s="830"/>
      <c r="C424" s="1535" t="s">
        <v>1302</v>
      </c>
      <c r="D424" s="1535"/>
      <c r="E424" s="1535"/>
      <c r="F424" s="1535"/>
      <c r="G424" s="1535"/>
      <c r="H424" s="1535"/>
    </row>
    <row r="425" spans="1:8">
      <c r="A425" s="7"/>
      <c r="B425" s="7"/>
      <c r="C425" s="7"/>
      <c r="D425" s="7"/>
      <c r="E425" s="7"/>
      <c r="F425" s="7"/>
      <c r="G425" s="7"/>
      <c r="H425" s="7"/>
    </row>
    <row r="426" spans="1:8" ht="12.6" thickBot="1">
      <c r="A426" s="7"/>
      <c r="B426" s="7"/>
      <c r="C426" s="7"/>
      <c r="D426" s="7"/>
      <c r="E426" s="7"/>
      <c r="F426" s="7"/>
      <c r="G426" s="7"/>
      <c r="H426" s="7"/>
    </row>
    <row r="427" spans="1:8" ht="15.6">
      <c r="A427" s="1538" t="s">
        <v>3</v>
      </c>
      <c r="B427" s="1540" t="s">
        <v>4</v>
      </c>
      <c r="C427" s="1540" t="s">
        <v>5</v>
      </c>
      <c r="D427" s="1540" t="s">
        <v>6</v>
      </c>
      <c r="E427" s="1540" t="s">
        <v>7</v>
      </c>
      <c r="F427" s="8" t="s">
        <v>8</v>
      </c>
      <c r="G427" s="8" t="s">
        <v>9</v>
      </c>
      <c r="H427" s="9" t="s">
        <v>10</v>
      </c>
    </row>
    <row r="428" spans="1:8" ht="15.6">
      <c r="A428" s="1539"/>
      <c r="B428" s="1517"/>
      <c r="C428" s="1517"/>
      <c r="D428" s="1517"/>
      <c r="E428" s="1517"/>
      <c r="F428" s="10" t="s">
        <v>11</v>
      </c>
      <c r="G428" s="10" t="s">
        <v>11</v>
      </c>
      <c r="H428" s="11" t="s">
        <v>11</v>
      </c>
    </row>
    <row r="429" spans="1:8" ht="15.6">
      <c r="A429" s="52"/>
      <c r="B429" s="53"/>
      <c r="C429" s="54"/>
      <c r="D429" s="54"/>
      <c r="E429" s="54"/>
      <c r="F429" s="54"/>
      <c r="G429" s="54"/>
      <c r="H429" s="55"/>
    </row>
    <row r="430" spans="1:8" ht="15.6">
      <c r="A430" s="52" t="s">
        <v>12</v>
      </c>
      <c r="B430" s="53" t="s">
        <v>13</v>
      </c>
      <c r="C430" s="56"/>
      <c r="D430" s="56"/>
      <c r="E430" s="56"/>
      <c r="F430" s="56"/>
      <c r="G430" s="56"/>
      <c r="H430" s="57"/>
    </row>
    <row r="431" spans="1:8" ht="15.6">
      <c r="A431" s="52"/>
      <c r="B431" s="581" t="s">
        <v>1304</v>
      </c>
      <c r="C431" s="59">
        <v>2</v>
      </c>
      <c r="D431" s="56" t="s">
        <v>44</v>
      </c>
      <c r="E431" s="56" t="s">
        <v>16</v>
      </c>
      <c r="F431" s="942">
        <v>2400000</v>
      </c>
      <c r="G431" s="60">
        <f t="shared" ref="G431:G436" si="4">C431*F431</f>
        <v>4800000</v>
      </c>
      <c r="H431" s="62"/>
    </row>
    <row r="432" spans="1:8" ht="15.6">
      <c r="A432" s="52"/>
      <c r="B432" s="581" t="s">
        <v>1305</v>
      </c>
      <c r="C432" s="59">
        <v>2</v>
      </c>
      <c r="D432" s="56" t="s">
        <v>44</v>
      </c>
      <c r="E432" s="56" t="s">
        <v>16</v>
      </c>
      <c r="F432" s="942">
        <v>3900000</v>
      </c>
      <c r="G432" s="60">
        <f t="shared" si="4"/>
        <v>7800000</v>
      </c>
      <c r="H432" s="62"/>
    </row>
    <row r="433" spans="1:8" ht="15.6">
      <c r="A433" s="52"/>
      <c r="B433" s="581" t="s">
        <v>1306</v>
      </c>
      <c r="C433" s="59">
        <v>2</v>
      </c>
      <c r="D433" s="56" t="s">
        <v>44</v>
      </c>
      <c r="E433" s="56" t="s">
        <v>16</v>
      </c>
      <c r="F433" s="942">
        <v>375000</v>
      </c>
      <c r="G433" s="60">
        <f t="shared" si="4"/>
        <v>750000</v>
      </c>
      <c r="H433" s="62"/>
    </row>
    <row r="434" spans="1:8" ht="15.6">
      <c r="A434" s="52"/>
      <c r="B434" s="581" t="s">
        <v>1307</v>
      </c>
      <c r="C434" s="59">
        <v>8</v>
      </c>
      <c r="D434" s="56" t="s">
        <v>44</v>
      </c>
      <c r="E434" s="56" t="s">
        <v>16</v>
      </c>
      <c r="F434" s="942">
        <v>150000</v>
      </c>
      <c r="G434" s="60">
        <f t="shared" si="4"/>
        <v>1200000</v>
      </c>
      <c r="H434" s="62"/>
    </row>
    <row r="435" spans="1:8" ht="15.6">
      <c r="A435" s="52"/>
      <c r="B435" s="581" t="s">
        <v>1308</v>
      </c>
      <c r="C435" s="59">
        <v>32</v>
      </c>
      <c r="D435" s="56" t="s">
        <v>44</v>
      </c>
      <c r="E435" s="56" t="s">
        <v>16</v>
      </c>
      <c r="F435" s="942">
        <v>7000</v>
      </c>
      <c r="G435" s="60">
        <f t="shared" si="4"/>
        <v>224000</v>
      </c>
      <c r="H435" s="62"/>
    </row>
    <row r="436" spans="1:8" ht="15.6">
      <c r="A436" s="52"/>
      <c r="B436" s="581" t="s">
        <v>1309</v>
      </c>
      <c r="C436" s="59">
        <v>16</v>
      </c>
      <c r="D436" s="56" t="s">
        <v>44</v>
      </c>
      <c r="E436" s="56" t="s">
        <v>16</v>
      </c>
      <c r="F436" s="942">
        <v>21000</v>
      </c>
      <c r="G436" s="60">
        <f t="shared" si="4"/>
        <v>336000</v>
      </c>
      <c r="H436" s="62"/>
    </row>
    <row r="437" spans="1:8" ht="15.6">
      <c r="A437" s="52"/>
      <c r="B437" s="581" t="s">
        <v>1310</v>
      </c>
      <c r="C437" s="59">
        <v>1</v>
      </c>
      <c r="D437" s="56" t="s">
        <v>47</v>
      </c>
      <c r="E437" s="56" t="s">
        <v>82</v>
      </c>
      <c r="F437" s="942">
        <v>132000</v>
      </c>
      <c r="G437" s="60">
        <f>C437*F437</f>
        <v>132000</v>
      </c>
      <c r="H437" s="62"/>
    </row>
    <row r="438" spans="1:8" ht="15.6">
      <c r="A438" s="52"/>
      <c r="B438" s="581" t="s">
        <v>1311</v>
      </c>
      <c r="C438" s="59">
        <v>1</v>
      </c>
      <c r="D438" s="56" t="s">
        <v>47</v>
      </c>
      <c r="E438" s="56" t="s">
        <v>16</v>
      </c>
      <c r="F438" s="942">
        <v>250000</v>
      </c>
      <c r="G438" s="60">
        <f>C438*F438</f>
        <v>250000</v>
      </c>
      <c r="H438" s="62"/>
    </row>
    <row r="439" spans="1:8" ht="15.6">
      <c r="A439" s="944"/>
      <c r="B439" s="945"/>
      <c r="C439" s="946"/>
      <c r="D439" s="947"/>
      <c r="E439" s="947"/>
      <c r="F439" s="948"/>
      <c r="G439" s="948"/>
      <c r="H439" s="949">
        <f>SUM(G429:G439)</f>
        <v>15492000</v>
      </c>
    </row>
    <row r="440" spans="1:8" ht="15.6">
      <c r="A440" s="52" t="s">
        <v>18</v>
      </c>
      <c r="B440" s="53" t="s">
        <v>19</v>
      </c>
      <c r="C440" s="59"/>
      <c r="D440" s="56"/>
      <c r="E440" s="56"/>
      <c r="F440" s="60"/>
      <c r="G440" s="60"/>
      <c r="H440" s="61"/>
    </row>
    <row r="441" spans="1:8" ht="15.6">
      <c r="A441" s="52"/>
      <c r="B441" s="581" t="s">
        <v>1319</v>
      </c>
      <c r="C441" s="59">
        <v>8</v>
      </c>
      <c r="D441" s="56" t="s">
        <v>47</v>
      </c>
      <c r="E441" s="56" t="s">
        <v>82</v>
      </c>
      <c r="F441" s="60">
        <v>185147.93</v>
      </c>
      <c r="G441" s="60">
        <f t="shared" ref="G441:G447" si="5">C441*F441</f>
        <v>1481183.44</v>
      </c>
      <c r="H441" s="61"/>
    </row>
    <row r="442" spans="1:8" ht="15.6">
      <c r="A442" s="52"/>
      <c r="B442" s="581" t="s">
        <v>1312</v>
      </c>
      <c r="C442" s="59">
        <v>2</v>
      </c>
      <c r="D442" s="56" t="s">
        <v>44</v>
      </c>
      <c r="E442" s="56" t="s">
        <v>51</v>
      </c>
      <c r="F442" s="60">
        <v>250000</v>
      </c>
      <c r="G442" s="60">
        <f t="shared" si="5"/>
        <v>500000</v>
      </c>
      <c r="H442" s="61"/>
    </row>
    <row r="443" spans="1:8" ht="15.6">
      <c r="A443" s="52"/>
      <c r="B443" s="581" t="s">
        <v>1313</v>
      </c>
      <c r="C443" s="59">
        <v>2</v>
      </c>
      <c r="D443" s="56" t="s">
        <v>44</v>
      </c>
      <c r="E443" s="56" t="s">
        <v>16</v>
      </c>
      <c r="F443" s="60">
        <v>366615</v>
      </c>
      <c r="G443" s="60">
        <f t="shared" si="5"/>
        <v>733230</v>
      </c>
      <c r="H443" s="61"/>
    </row>
    <row r="444" spans="1:8" ht="15.6">
      <c r="A444" s="52"/>
      <c r="B444" s="581" t="s">
        <v>1314</v>
      </c>
      <c r="C444" s="59">
        <v>2</v>
      </c>
      <c r="D444" s="56" t="s">
        <v>44</v>
      </c>
      <c r="E444" s="56" t="s">
        <v>16</v>
      </c>
      <c r="F444" s="60">
        <v>366615</v>
      </c>
      <c r="G444" s="60">
        <f t="shared" si="5"/>
        <v>733230</v>
      </c>
      <c r="H444" s="61"/>
    </row>
    <row r="445" spans="1:8" ht="15.6">
      <c r="A445" s="52"/>
      <c r="B445" s="581" t="s">
        <v>1315</v>
      </c>
      <c r="C445" s="75">
        <v>1.5</v>
      </c>
      <c r="D445" s="56" t="s">
        <v>47</v>
      </c>
      <c r="E445" s="56" t="s">
        <v>82</v>
      </c>
      <c r="F445" s="60">
        <v>49076.36</v>
      </c>
      <c r="G445" s="60">
        <f t="shared" si="5"/>
        <v>73614.540000000008</v>
      </c>
      <c r="H445" s="61"/>
    </row>
    <row r="446" spans="1:8" ht="15.6">
      <c r="A446" s="52"/>
      <c r="B446" s="581" t="s">
        <v>1317</v>
      </c>
      <c r="C446" s="59">
        <v>2</v>
      </c>
      <c r="D446" s="56" t="s">
        <v>1316</v>
      </c>
      <c r="E446" s="56" t="s">
        <v>1318</v>
      </c>
      <c r="F446" s="60">
        <v>34514.379999999997</v>
      </c>
      <c r="G446" s="60">
        <f t="shared" si="5"/>
        <v>69028.759999999995</v>
      </c>
      <c r="H446" s="61"/>
    </row>
    <row r="447" spans="1:8" ht="15.6">
      <c r="A447" s="52"/>
      <c r="B447" s="581" t="s">
        <v>1298</v>
      </c>
      <c r="C447" s="59">
        <v>2</v>
      </c>
      <c r="D447" s="56" t="s">
        <v>138</v>
      </c>
      <c r="E447" s="56" t="s">
        <v>51</v>
      </c>
      <c r="F447" s="60">
        <v>250000</v>
      </c>
      <c r="G447" s="60">
        <f t="shared" si="5"/>
        <v>500000</v>
      </c>
      <c r="H447" s="61"/>
    </row>
    <row r="448" spans="1:8" ht="15.6">
      <c r="A448" s="950"/>
      <c r="B448" s="951"/>
      <c r="C448" s="952"/>
      <c r="D448" s="947"/>
      <c r="E448" s="947"/>
      <c r="F448" s="953"/>
      <c r="G448" s="954"/>
      <c r="H448" s="68"/>
    </row>
    <row r="449" spans="1:8" ht="17.399999999999999">
      <c r="A449" s="900"/>
      <c r="B449" s="901"/>
      <c r="C449" s="902"/>
      <c r="D449" s="903"/>
      <c r="E449" s="903"/>
      <c r="F449" s="904" t="s">
        <v>25</v>
      </c>
      <c r="G449" s="884">
        <f>SUM(G441:G448)</f>
        <v>4090286.7399999998</v>
      </c>
      <c r="H449" s="879"/>
    </row>
    <row r="450" spans="1:8" ht="17.399999999999999">
      <c r="A450" s="900"/>
      <c r="B450" s="901"/>
      <c r="C450" s="902"/>
      <c r="D450" s="903"/>
      <c r="E450" s="903"/>
      <c r="F450" s="905" t="s">
        <v>26</v>
      </c>
      <c r="G450" s="884">
        <f>G449/10</f>
        <v>409028.674</v>
      </c>
      <c r="H450" s="879"/>
    </row>
    <row r="451" spans="1:8" ht="17.399999999999999">
      <c r="A451" s="906"/>
      <c r="B451" s="907"/>
      <c r="C451" s="908"/>
      <c r="D451" s="909"/>
      <c r="E451" s="909"/>
      <c r="F451" s="910"/>
      <c r="G451" s="889"/>
      <c r="H451" s="895">
        <f>SUM(G449:G450)</f>
        <v>4499315.4139999999</v>
      </c>
    </row>
    <row r="452" spans="1:8" ht="18" thickBot="1">
      <c r="A452" s="900"/>
      <c r="B452" s="911"/>
      <c r="C452" s="902"/>
      <c r="D452" s="903"/>
      <c r="E452" s="903"/>
      <c r="F452" s="912"/>
      <c r="G452" s="913"/>
      <c r="H452" s="887"/>
    </row>
    <row r="453" spans="1:8" ht="17.399999999999999">
      <c r="A453" s="914"/>
      <c r="B453" s="915"/>
      <c r="C453" s="916"/>
      <c r="D453" s="917"/>
      <c r="E453" s="917"/>
      <c r="F453" s="917"/>
      <c r="G453" s="918" t="s">
        <v>28</v>
      </c>
      <c r="H453" s="919">
        <f>SUM(H439:H451)</f>
        <v>19991315.414000001</v>
      </c>
    </row>
    <row r="454" spans="1:8" ht="18" thickBot="1">
      <c r="A454" s="920"/>
      <c r="B454" s="921"/>
      <c r="C454" s="922"/>
      <c r="D454" s="922"/>
      <c r="E454" s="923"/>
      <c r="F454" s="924"/>
      <c r="G454" s="925" t="s">
        <v>30</v>
      </c>
      <c r="H454" s="926">
        <f>ROUND(H453,-3)</f>
        <v>19991000</v>
      </c>
    </row>
    <row r="455" spans="1:8" ht="17.399999999999999">
      <c r="A455" s="901"/>
      <c r="B455" s="901"/>
      <c r="C455" s="955"/>
      <c r="D455" s="955"/>
      <c r="E455" s="903"/>
      <c r="F455" s="904"/>
      <c r="G455" s="901"/>
      <c r="H455" s="956"/>
    </row>
    <row r="456" spans="1:8" ht="17.399999999999999">
      <c r="A456" s="929" t="s">
        <v>549</v>
      </c>
      <c r="B456" s="901"/>
      <c r="C456" s="955"/>
      <c r="D456" s="955"/>
      <c r="E456" s="903"/>
      <c r="F456" s="904"/>
      <c r="G456" s="901"/>
      <c r="H456" s="956"/>
    </row>
    <row r="457" spans="1:8" ht="18">
      <c r="A457" s="901"/>
      <c r="B457" s="957" t="e">
        <f ca="1">PROPER([1]!terbilang(H454)&amp;" rupiah")</f>
        <v>#NAME?</v>
      </c>
      <c r="C457" s="955"/>
      <c r="D457" s="955"/>
      <c r="E457" s="903"/>
      <c r="F457" s="904"/>
      <c r="G457" s="901"/>
      <c r="H457" s="956"/>
    </row>
    <row r="458" spans="1:8" ht="17.399999999999999">
      <c r="A458" s="901"/>
      <c r="B458" s="901"/>
      <c r="C458" s="955"/>
      <c r="D458" s="955"/>
      <c r="E458" s="903"/>
      <c r="F458" s="904"/>
      <c r="G458" s="1577" t="s">
        <v>1299</v>
      </c>
      <c r="H458" s="1577"/>
    </row>
    <row r="459" spans="1:8" ht="18">
      <c r="A459" s="1530" t="s">
        <v>31</v>
      </c>
      <c r="B459" s="1530"/>
      <c r="C459" s="1530" t="s">
        <v>32</v>
      </c>
      <c r="D459" s="1530"/>
      <c r="E459" s="1530"/>
      <c r="F459" s="958"/>
      <c r="G459" s="1530" t="s">
        <v>33</v>
      </c>
      <c r="H459" s="1530"/>
    </row>
    <row r="460" spans="1:8" ht="18">
      <c r="A460" s="958"/>
      <c r="B460" s="958"/>
      <c r="C460" s="958"/>
      <c r="D460" s="958"/>
      <c r="E460" s="958"/>
      <c r="F460" s="958"/>
      <c r="G460" s="958"/>
      <c r="H460" s="958"/>
    </row>
    <row r="461" spans="1:8" ht="18">
      <c r="A461" s="958"/>
      <c r="B461" s="958"/>
      <c r="C461" s="958"/>
      <c r="D461" s="958"/>
      <c r="E461" s="958"/>
      <c r="F461" s="958"/>
      <c r="G461" s="958"/>
      <c r="H461" s="958"/>
    </row>
    <row r="462" spans="1:8" ht="18">
      <c r="A462" s="958"/>
      <c r="B462" s="958"/>
      <c r="C462" s="958"/>
      <c r="D462" s="958"/>
      <c r="E462" s="958"/>
      <c r="F462" s="958"/>
      <c r="G462" s="958"/>
      <c r="H462" s="958"/>
    </row>
    <row r="463" spans="1:8" ht="18">
      <c r="A463" s="958"/>
      <c r="B463" s="958"/>
      <c r="C463" s="958"/>
      <c r="D463" s="958"/>
      <c r="E463" s="958"/>
      <c r="F463" s="958"/>
      <c r="G463" s="958"/>
      <c r="H463" s="958"/>
    </row>
    <row r="464" spans="1:8" ht="18">
      <c r="A464" s="1529" t="s">
        <v>34</v>
      </c>
      <c r="B464" s="1529"/>
      <c r="C464" s="1529" t="s">
        <v>35</v>
      </c>
      <c r="D464" s="1529"/>
      <c r="E464" s="1529"/>
      <c r="F464" s="958"/>
      <c r="G464" s="1529" t="s">
        <v>36</v>
      </c>
      <c r="H464" s="1529"/>
    </row>
    <row r="465" spans="1:8" ht="18">
      <c r="A465" s="1530" t="s">
        <v>37</v>
      </c>
      <c r="B465" s="1530"/>
      <c r="C465" s="1530" t="s">
        <v>38</v>
      </c>
      <c r="D465" s="1530"/>
      <c r="E465" s="1530"/>
      <c r="F465" s="958"/>
      <c r="G465" s="1530" t="s">
        <v>39</v>
      </c>
      <c r="H465" s="1530"/>
    </row>
    <row r="466" spans="1:8" ht="18">
      <c r="A466" s="959"/>
      <c r="B466" s="959"/>
      <c r="C466" s="959"/>
      <c r="D466" s="959"/>
      <c r="E466" s="959"/>
      <c r="F466" s="958"/>
      <c r="G466" s="959"/>
      <c r="H466" s="959"/>
    </row>
    <row r="467" spans="1:8" ht="23.4">
      <c r="A467" s="960"/>
      <c r="B467" s="960"/>
      <c r="C467" s="1537" t="s">
        <v>235</v>
      </c>
      <c r="D467" s="1537"/>
      <c r="E467" s="1537"/>
      <c r="F467" s="1537"/>
      <c r="G467" s="1537"/>
      <c r="H467" s="1537"/>
    </row>
    <row r="468" spans="1:8" ht="23.4">
      <c r="A468" s="960"/>
      <c r="B468" s="960"/>
      <c r="C468" s="1537" t="s">
        <v>1300</v>
      </c>
      <c r="D468" s="1537"/>
      <c r="E468" s="1537"/>
      <c r="F468" s="1537"/>
      <c r="G468" s="1537"/>
      <c r="H468" s="1537"/>
    </row>
    <row r="469" spans="1:8" ht="21">
      <c r="A469" s="830"/>
      <c r="B469" s="830"/>
      <c r="C469" s="1535" t="s">
        <v>259</v>
      </c>
      <c r="D469" s="1535"/>
      <c r="E469" s="1535"/>
      <c r="F469" s="1535"/>
      <c r="G469" s="1535"/>
      <c r="H469" s="1535"/>
    </row>
    <row r="470" spans="1:8">
      <c r="A470" s="7"/>
      <c r="B470" s="7"/>
      <c r="C470" s="7"/>
      <c r="D470" s="7"/>
      <c r="E470" s="7"/>
      <c r="F470" s="7"/>
      <c r="G470" s="7"/>
      <c r="H470" s="7"/>
    </row>
    <row r="471" spans="1:8" ht="12.6" thickBot="1">
      <c r="A471" s="7"/>
      <c r="B471" s="7"/>
      <c r="C471" s="7"/>
      <c r="D471" s="7"/>
      <c r="E471" s="7"/>
      <c r="F471" s="7"/>
      <c r="G471" s="7"/>
      <c r="H471" s="7"/>
    </row>
    <row r="472" spans="1:8" ht="15.6">
      <c r="A472" s="1538" t="s">
        <v>3</v>
      </c>
      <c r="B472" s="1540" t="s">
        <v>4</v>
      </c>
      <c r="C472" s="1540" t="s">
        <v>5</v>
      </c>
      <c r="D472" s="1540" t="s">
        <v>6</v>
      </c>
      <c r="E472" s="1540" t="s">
        <v>7</v>
      </c>
      <c r="F472" s="8" t="s">
        <v>8</v>
      </c>
      <c r="G472" s="8" t="s">
        <v>9</v>
      </c>
      <c r="H472" s="9" t="s">
        <v>10</v>
      </c>
    </row>
    <row r="473" spans="1:8" ht="15.6">
      <c r="A473" s="1539"/>
      <c r="B473" s="1517"/>
      <c r="C473" s="1517"/>
      <c r="D473" s="1517"/>
      <c r="E473" s="1517"/>
      <c r="F473" s="10" t="s">
        <v>11</v>
      </c>
      <c r="G473" s="10" t="s">
        <v>11</v>
      </c>
      <c r="H473" s="11" t="s">
        <v>11</v>
      </c>
    </row>
    <row r="474" spans="1:8" ht="15.6">
      <c r="A474" s="52"/>
      <c r="B474" s="53"/>
      <c r="C474" s="54"/>
      <c r="D474" s="54"/>
      <c r="E474" s="54"/>
      <c r="F474" s="54"/>
      <c r="G474" s="54"/>
      <c r="H474" s="55"/>
    </row>
    <row r="475" spans="1:8" ht="15.6">
      <c r="A475" s="52" t="s">
        <v>12</v>
      </c>
      <c r="B475" s="53" t="s">
        <v>13</v>
      </c>
      <c r="C475" s="56"/>
      <c r="D475" s="56"/>
      <c r="E475" s="56"/>
      <c r="F475" s="56"/>
      <c r="G475" s="56"/>
      <c r="H475" s="57"/>
    </row>
    <row r="476" spans="1:8" ht="15.6">
      <c r="A476" s="52"/>
      <c r="B476" s="581" t="s">
        <v>1290</v>
      </c>
      <c r="C476" s="59">
        <v>4</v>
      </c>
      <c r="D476" s="56" t="s">
        <v>44</v>
      </c>
      <c r="E476" s="56" t="s">
        <v>16</v>
      </c>
      <c r="F476" s="942">
        <v>4350500</v>
      </c>
      <c r="G476" s="60">
        <f t="shared" ref="G476:G481" si="6">C476*F476</f>
        <v>17402000</v>
      </c>
      <c r="H476" s="62"/>
    </row>
    <row r="477" spans="1:8" ht="15.6">
      <c r="A477" s="52"/>
      <c r="B477" s="581" t="s">
        <v>1320</v>
      </c>
      <c r="C477" s="59">
        <v>12</v>
      </c>
      <c r="D477" s="56" t="s">
        <v>44</v>
      </c>
      <c r="E477" s="56" t="s">
        <v>16</v>
      </c>
      <c r="F477" s="942">
        <v>72600</v>
      </c>
      <c r="G477" s="60">
        <f t="shared" si="6"/>
        <v>871200</v>
      </c>
      <c r="H477" s="62"/>
    </row>
    <row r="478" spans="1:8" ht="15.6">
      <c r="A478" s="52"/>
      <c r="B478" s="581" t="s">
        <v>1291</v>
      </c>
      <c r="C478" s="59">
        <v>4</v>
      </c>
      <c r="D478" s="56" t="s">
        <v>44</v>
      </c>
      <c r="E478" s="56" t="s">
        <v>16</v>
      </c>
      <c r="F478" s="942">
        <v>65000</v>
      </c>
      <c r="G478" s="60">
        <f t="shared" si="6"/>
        <v>260000</v>
      </c>
      <c r="H478" s="62"/>
    </row>
    <row r="479" spans="1:8" ht="15.6">
      <c r="A479" s="52"/>
      <c r="B479" s="581" t="s">
        <v>1292</v>
      </c>
      <c r="C479" s="59">
        <v>64</v>
      </c>
      <c r="D479" s="56" t="s">
        <v>44</v>
      </c>
      <c r="E479" s="56" t="s">
        <v>16</v>
      </c>
      <c r="F479" s="942">
        <v>2100</v>
      </c>
      <c r="G479" s="60">
        <f t="shared" si="6"/>
        <v>134400</v>
      </c>
      <c r="H479" s="62"/>
    </row>
    <row r="480" spans="1:8" ht="15.6">
      <c r="A480" s="52"/>
      <c r="B480" s="581" t="s">
        <v>1293</v>
      </c>
      <c r="C480" s="59">
        <v>2</v>
      </c>
      <c r="D480" s="56" t="s">
        <v>47</v>
      </c>
      <c r="E480" s="56" t="s">
        <v>82</v>
      </c>
      <c r="F480" s="942">
        <v>220000</v>
      </c>
      <c r="G480" s="60">
        <f t="shared" si="6"/>
        <v>440000</v>
      </c>
      <c r="H480" s="62"/>
    </row>
    <row r="481" spans="1:8" ht="15.6">
      <c r="A481" s="52"/>
      <c r="B481" s="581" t="s">
        <v>1294</v>
      </c>
      <c r="C481" s="59">
        <v>8</v>
      </c>
      <c r="D481" s="56" t="s">
        <v>47</v>
      </c>
      <c r="E481" s="56" t="s">
        <v>82</v>
      </c>
      <c r="F481" s="942">
        <v>158900</v>
      </c>
      <c r="G481" s="60">
        <f t="shared" si="6"/>
        <v>1271200</v>
      </c>
      <c r="H481" s="62"/>
    </row>
    <row r="482" spans="1:8" ht="15.6">
      <c r="A482" s="944"/>
      <c r="B482" s="945"/>
      <c r="C482" s="946"/>
      <c r="D482" s="947"/>
      <c r="E482" s="947"/>
      <c r="F482" s="948"/>
      <c r="G482" s="948"/>
      <c r="H482" s="949">
        <f>SUM(G474:G482)</f>
        <v>20378800</v>
      </c>
    </row>
    <row r="483" spans="1:8" ht="15.6">
      <c r="A483" s="52" t="s">
        <v>18</v>
      </c>
      <c r="B483" s="53" t="s">
        <v>19</v>
      </c>
      <c r="C483" s="59"/>
      <c r="D483" s="56"/>
      <c r="E483" s="56"/>
      <c r="F483" s="60"/>
      <c r="G483" s="60"/>
      <c r="H483" s="61"/>
    </row>
    <row r="484" spans="1:8" ht="15.6">
      <c r="A484" s="52"/>
      <c r="B484" s="581" t="s">
        <v>1295</v>
      </c>
      <c r="C484" s="59">
        <v>4</v>
      </c>
      <c r="D484" s="56" t="s">
        <v>15</v>
      </c>
      <c r="E484" s="56" t="s">
        <v>82</v>
      </c>
      <c r="F484" s="60">
        <v>162940</v>
      </c>
      <c r="G484" s="60">
        <f>C484*F484</f>
        <v>651760</v>
      </c>
      <c r="H484" s="61"/>
    </row>
    <row r="485" spans="1:8" ht="15.6">
      <c r="A485" s="52"/>
      <c r="B485" s="581" t="s">
        <v>1296</v>
      </c>
      <c r="C485" s="59">
        <v>4</v>
      </c>
      <c r="D485" s="56" t="s">
        <v>61</v>
      </c>
      <c r="E485" s="56" t="s">
        <v>51</v>
      </c>
      <c r="F485" s="60">
        <v>150000</v>
      </c>
      <c r="G485" s="60">
        <f>C485*F485</f>
        <v>600000</v>
      </c>
      <c r="H485" s="61"/>
    </row>
    <row r="486" spans="1:8" ht="15.6">
      <c r="A486" s="52"/>
      <c r="B486" s="581" t="s">
        <v>1297</v>
      </c>
      <c r="C486" s="59">
        <v>11</v>
      </c>
      <c r="D486" s="56" t="s">
        <v>47</v>
      </c>
      <c r="E486" s="56" t="s">
        <v>82</v>
      </c>
      <c r="F486" s="60">
        <v>189231.26</v>
      </c>
      <c r="G486" s="60">
        <f>C486*F486</f>
        <v>2081543.86</v>
      </c>
      <c r="H486" s="61"/>
    </row>
    <row r="487" spans="1:8" ht="15.6">
      <c r="A487" s="52"/>
      <c r="B487" s="581" t="s">
        <v>1298</v>
      </c>
      <c r="C487" s="59">
        <v>4</v>
      </c>
      <c r="D487" s="56" t="s">
        <v>138</v>
      </c>
      <c r="E487" s="56" t="s">
        <v>51</v>
      </c>
      <c r="F487" s="60">
        <v>150000</v>
      </c>
      <c r="G487" s="60">
        <f>C487*F487</f>
        <v>600000</v>
      </c>
      <c r="H487" s="61"/>
    </row>
    <row r="488" spans="1:8" ht="15.6">
      <c r="A488" s="52"/>
      <c r="B488" s="581"/>
      <c r="C488" s="59"/>
      <c r="D488" s="56"/>
      <c r="E488" s="56"/>
      <c r="F488" s="60"/>
      <c r="G488" s="60"/>
      <c r="H488" s="61"/>
    </row>
    <row r="489" spans="1:8" ht="15.6">
      <c r="A489" s="52"/>
      <c r="B489" s="581"/>
      <c r="C489" s="59"/>
      <c r="D489" s="56"/>
      <c r="E489" s="56"/>
      <c r="F489" s="60"/>
      <c r="G489" s="60"/>
      <c r="H489" s="61"/>
    </row>
    <row r="490" spans="1:8" ht="15.6">
      <c r="A490" s="52"/>
      <c r="B490" s="581"/>
      <c r="C490" s="59"/>
      <c r="D490" s="56"/>
      <c r="E490" s="56"/>
      <c r="F490" s="60"/>
      <c r="G490" s="60"/>
      <c r="H490" s="61"/>
    </row>
    <row r="491" spans="1:8" ht="15.6">
      <c r="A491" s="52"/>
      <c r="B491" s="581"/>
      <c r="C491" s="59"/>
      <c r="D491" s="56"/>
      <c r="E491" s="56"/>
      <c r="F491" s="60"/>
      <c r="G491" s="60"/>
      <c r="H491" s="61"/>
    </row>
    <row r="492" spans="1:8" ht="15.6">
      <c r="A492" s="950"/>
      <c r="B492" s="951"/>
      <c r="C492" s="952"/>
      <c r="D492" s="947"/>
      <c r="E492" s="947"/>
      <c r="F492" s="953"/>
      <c r="G492" s="954"/>
      <c r="H492" s="68"/>
    </row>
    <row r="493" spans="1:8" ht="17.399999999999999">
      <c r="A493" s="900"/>
      <c r="B493" s="901"/>
      <c r="C493" s="902"/>
      <c r="D493" s="903"/>
      <c r="E493" s="903"/>
      <c r="F493" s="904" t="s">
        <v>25</v>
      </c>
      <c r="G493" s="884">
        <f>SUM(G484:G492)</f>
        <v>3933303.8600000003</v>
      </c>
      <c r="H493" s="879"/>
    </row>
    <row r="494" spans="1:8" ht="17.399999999999999">
      <c r="A494" s="900"/>
      <c r="B494" s="901"/>
      <c r="C494" s="902"/>
      <c r="D494" s="903"/>
      <c r="E494" s="903"/>
      <c r="F494" s="905" t="s">
        <v>26</v>
      </c>
      <c r="G494" s="884">
        <f>G493/10</f>
        <v>393330.38600000006</v>
      </c>
      <c r="H494" s="879"/>
    </row>
    <row r="495" spans="1:8" ht="17.399999999999999">
      <c r="A495" s="906"/>
      <c r="B495" s="907"/>
      <c r="C495" s="908"/>
      <c r="D495" s="909"/>
      <c r="E495" s="909"/>
      <c r="F495" s="910"/>
      <c r="G495" s="889"/>
      <c r="H495" s="895">
        <f>SUM(G493:G494)</f>
        <v>4326634.2460000003</v>
      </c>
    </row>
    <row r="496" spans="1:8" ht="18" thickBot="1">
      <c r="A496" s="900"/>
      <c r="B496" s="911"/>
      <c r="C496" s="902"/>
      <c r="D496" s="903"/>
      <c r="E496" s="903"/>
      <c r="F496" s="912"/>
      <c r="G496" s="913"/>
      <c r="H496" s="887"/>
    </row>
    <row r="497" spans="1:8" ht="17.399999999999999">
      <c r="A497" s="914"/>
      <c r="B497" s="915"/>
      <c r="C497" s="916"/>
      <c r="D497" s="917"/>
      <c r="E497" s="917"/>
      <c r="F497" s="917"/>
      <c r="G497" s="918" t="s">
        <v>28</v>
      </c>
      <c r="H497" s="919">
        <f>SUM(H482:H495)</f>
        <v>24705434.245999999</v>
      </c>
    </row>
    <row r="498" spans="1:8" ht="18" thickBot="1">
      <c r="A498" s="920"/>
      <c r="B498" s="921"/>
      <c r="C498" s="922"/>
      <c r="D498" s="922"/>
      <c r="E498" s="923"/>
      <c r="F498" s="924"/>
      <c r="G498" s="925" t="s">
        <v>30</v>
      </c>
      <c r="H498" s="926">
        <f>ROUND(H497,-2)</f>
        <v>24705400</v>
      </c>
    </row>
    <row r="499" spans="1:8" ht="17.399999999999999">
      <c r="A499" s="901"/>
      <c r="B499" s="901"/>
      <c r="C499" s="955"/>
      <c r="D499" s="955"/>
      <c r="E499" s="903"/>
      <c r="F499" s="904"/>
      <c r="G499" s="901"/>
      <c r="H499" s="956"/>
    </row>
    <row r="500" spans="1:8" ht="17.399999999999999">
      <c r="A500" s="929" t="s">
        <v>549</v>
      </c>
      <c r="B500" s="901"/>
      <c r="C500" s="955"/>
      <c r="D500" s="955"/>
      <c r="E500" s="903"/>
      <c r="F500" s="904"/>
      <c r="G500" s="901"/>
      <c r="H500" s="956"/>
    </row>
    <row r="501" spans="1:8" ht="18">
      <c r="A501" s="901"/>
      <c r="B501" s="957" t="e">
        <f ca="1">PROPER([1]!terbilang(H498)&amp;" rupiah")</f>
        <v>#NAME?</v>
      </c>
      <c r="C501" s="955"/>
      <c r="D501" s="955"/>
      <c r="E501" s="903"/>
      <c r="F501" s="904"/>
      <c r="G501" s="901"/>
      <c r="H501" s="956"/>
    </row>
    <row r="502" spans="1:8" ht="17.399999999999999">
      <c r="A502" s="901"/>
      <c r="B502" s="901"/>
      <c r="C502" s="955"/>
      <c r="D502" s="955"/>
      <c r="E502" s="903"/>
      <c r="F502" s="904"/>
      <c r="G502" s="1577" t="s">
        <v>1299</v>
      </c>
      <c r="H502" s="1577"/>
    </row>
    <row r="503" spans="1:8" ht="18">
      <c r="A503" s="1530" t="s">
        <v>31</v>
      </c>
      <c r="B503" s="1530"/>
      <c r="C503" s="1530" t="s">
        <v>32</v>
      </c>
      <c r="D503" s="1530"/>
      <c r="E503" s="1530"/>
      <c r="F503" s="958"/>
      <c r="G503" s="1530" t="s">
        <v>33</v>
      </c>
      <c r="H503" s="1530"/>
    </row>
    <row r="504" spans="1:8" ht="18">
      <c r="A504" s="958"/>
      <c r="B504" s="958"/>
      <c r="C504" s="958"/>
      <c r="D504" s="958"/>
      <c r="E504" s="958"/>
      <c r="F504" s="958"/>
      <c r="G504" s="958"/>
      <c r="H504" s="958"/>
    </row>
    <row r="505" spans="1:8" ht="18">
      <c r="A505" s="958"/>
      <c r="B505" s="958"/>
      <c r="C505" s="958"/>
      <c r="D505" s="958"/>
      <c r="E505" s="958"/>
      <c r="F505" s="958"/>
      <c r="G505" s="958"/>
      <c r="H505" s="958"/>
    </row>
    <row r="506" spans="1:8" ht="18">
      <c r="A506" s="958"/>
      <c r="B506" s="958"/>
      <c r="C506" s="958"/>
      <c r="D506" s="958"/>
      <c r="E506" s="958"/>
      <c r="F506" s="958"/>
      <c r="G506" s="958"/>
      <c r="H506" s="958"/>
    </row>
    <row r="507" spans="1:8" ht="18">
      <c r="A507" s="958"/>
      <c r="B507" s="958"/>
      <c r="C507" s="958"/>
      <c r="D507" s="958"/>
      <c r="E507" s="958"/>
      <c r="F507" s="958"/>
      <c r="G507" s="958"/>
      <c r="H507" s="958"/>
    </row>
    <row r="508" spans="1:8" ht="18">
      <c r="A508" s="958"/>
      <c r="B508" s="958"/>
      <c r="C508" s="958"/>
      <c r="D508" s="958"/>
      <c r="E508" s="958"/>
      <c r="F508" s="958"/>
      <c r="G508" s="958"/>
      <c r="H508" s="958"/>
    </row>
    <row r="509" spans="1:8" ht="18">
      <c r="A509" s="1529" t="s">
        <v>34</v>
      </c>
      <c r="B509" s="1529"/>
      <c r="C509" s="1529" t="s">
        <v>35</v>
      </c>
      <c r="D509" s="1529"/>
      <c r="E509" s="1529"/>
      <c r="F509" s="958"/>
      <c r="G509" s="1529" t="s">
        <v>36</v>
      </c>
      <c r="H509" s="1529"/>
    </row>
    <row r="510" spans="1:8" ht="18">
      <c r="A510" s="1530" t="s">
        <v>37</v>
      </c>
      <c r="B510" s="1530"/>
      <c r="C510" s="1530" t="s">
        <v>38</v>
      </c>
      <c r="D510" s="1530"/>
      <c r="E510" s="1530"/>
      <c r="F510" s="958"/>
      <c r="G510" s="1530" t="s">
        <v>39</v>
      </c>
      <c r="H510" s="1530"/>
    </row>
    <row r="511" spans="1:8" ht="18">
      <c r="A511" s="959"/>
      <c r="B511" s="959"/>
      <c r="C511" s="959"/>
      <c r="D511" s="959"/>
      <c r="E511" s="959"/>
      <c r="F511" s="958"/>
      <c r="G511" s="959"/>
      <c r="H511" s="959"/>
    </row>
    <row r="512" spans="1:8" ht="18">
      <c r="A512" s="959"/>
      <c r="B512" s="959"/>
      <c r="C512" s="959"/>
      <c r="D512" s="959"/>
      <c r="E512" s="959"/>
      <c r="F512" s="958"/>
      <c r="G512" s="959"/>
      <c r="H512" s="959"/>
    </row>
    <row r="513" spans="1:8" ht="23.4">
      <c r="A513" s="1537" t="s">
        <v>56</v>
      </c>
      <c r="B513" s="1537"/>
      <c r="C513" s="1537"/>
      <c r="D513" s="1537"/>
      <c r="E513" s="1537"/>
      <c r="F513" s="1537"/>
      <c r="G513" s="1537"/>
      <c r="H513" s="1537"/>
    </row>
    <row r="514" spans="1:8" ht="23.4">
      <c r="A514" s="1537" t="s">
        <v>1279</v>
      </c>
      <c r="B514" s="1537"/>
      <c r="C514" s="1537"/>
      <c r="D514" s="1537"/>
      <c r="E514" s="1537"/>
      <c r="F514" s="1537"/>
      <c r="G514" s="1537"/>
      <c r="H514" s="1537"/>
    </row>
    <row r="515" spans="1:8" ht="21">
      <c r="A515" s="1535" t="s">
        <v>1280</v>
      </c>
      <c r="B515" s="1535"/>
      <c r="C515" s="1535"/>
      <c r="D515" s="1535"/>
      <c r="E515" s="1535"/>
      <c r="F515" s="1535"/>
      <c r="G515" s="1535"/>
      <c r="H515" s="1535"/>
    </row>
    <row r="516" spans="1:8">
      <c r="A516" s="7"/>
      <c r="B516" s="7"/>
      <c r="C516" s="7"/>
      <c r="D516" s="7"/>
      <c r="E516" s="7"/>
      <c r="F516" s="7"/>
      <c r="G516" s="7"/>
      <c r="H516" s="7"/>
    </row>
    <row r="517" spans="1:8" ht="12.6" thickBot="1">
      <c r="A517" s="7"/>
      <c r="B517" s="7"/>
      <c r="C517" s="7"/>
      <c r="D517" s="7"/>
      <c r="E517" s="7"/>
      <c r="F517" s="7"/>
      <c r="G517" s="7"/>
      <c r="H517" s="7"/>
    </row>
    <row r="518" spans="1:8" ht="15.6">
      <c r="A518" s="1538" t="s">
        <v>3</v>
      </c>
      <c r="B518" s="1540" t="s">
        <v>4</v>
      </c>
      <c r="C518" s="1540" t="s">
        <v>5</v>
      </c>
      <c r="D518" s="1540" t="s">
        <v>6</v>
      </c>
      <c r="E518" s="1540" t="s">
        <v>7</v>
      </c>
      <c r="F518" s="8" t="s">
        <v>8</v>
      </c>
      <c r="G518" s="8" t="s">
        <v>9</v>
      </c>
      <c r="H518" s="9" t="s">
        <v>10</v>
      </c>
    </row>
    <row r="519" spans="1:8" ht="15.6">
      <c r="A519" s="1539"/>
      <c r="B519" s="1517"/>
      <c r="C519" s="1517"/>
      <c r="D519" s="1517"/>
      <c r="E519" s="1517"/>
      <c r="F519" s="10" t="s">
        <v>11</v>
      </c>
      <c r="G519" s="10" t="s">
        <v>11</v>
      </c>
      <c r="H519" s="11" t="s">
        <v>11</v>
      </c>
    </row>
    <row r="520" spans="1:8" ht="15.6">
      <c r="A520" s="52"/>
      <c r="B520" s="53"/>
      <c r="C520" s="54"/>
      <c r="D520" s="54"/>
      <c r="E520" s="54"/>
      <c r="F520" s="54"/>
      <c r="G520" s="54"/>
      <c r="H520" s="55"/>
    </row>
    <row r="521" spans="1:8" ht="15.6">
      <c r="A521" s="52" t="s">
        <v>12</v>
      </c>
      <c r="B521" s="53" t="s">
        <v>13</v>
      </c>
      <c r="C521" s="56"/>
      <c r="D521" s="56"/>
      <c r="E521" s="56"/>
      <c r="F521" s="56"/>
      <c r="G521" s="56"/>
      <c r="H521" s="57"/>
    </row>
    <row r="522" spans="1:8" ht="15.6">
      <c r="A522" s="52"/>
      <c r="B522" s="581" t="s">
        <v>1281</v>
      </c>
      <c r="C522" s="59">
        <v>1</v>
      </c>
      <c r="D522" s="56" t="s">
        <v>245</v>
      </c>
      <c r="E522" s="56" t="s">
        <v>891</v>
      </c>
      <c r="F522" s="942" t="s">
        <v>126</v>
      </c>
      <c r="G522" s="942" t="s">
        <v>126</v>
      </c>
      <c r="H522" s="62"/>
    </row>
    <row r="523" spans="1:8" ht="15.6">
      <c r="A523" s="944"/>
      <c r="B523" s="945"/>
      <c r="C523" s="946"/>
      <c r="D523" s="947"/>
      <c r="E523" s="947"/>
      <c r="F523" s="948"/>
      <c r="G523" s="948"/>
      <c r="H523" s="949"/>
    </row>
    <row r="524" spans="1:8" ht="15.6">
      <c r="A524" s="52" t="s">
        <v>18</v>
      </c>
      <c r="B524" s="53" t="s">
        <v>19</v>
      </c>
      <c r="C524" s="59"/>
      <c r="D524" s="56"/>
      <c r="E524" s="56"/>
      <c r="F524" s="60"/>
      <c r="G524" s="60"/>
      <c r="H524" s="61"/>
    </row>
    <row r="525" spans="1:8" ht="15.6">
      <c r="A525" s="52"/>
      <c r="B525" s="581" t="s">
        <v>1282</v>
      </c>
      <c r="C525" s="59">
        <v>1</v>
      </c>
      <c r="D525" s="56" t="s">
        <v>15</v>
      </c>
      <c r="E525" s="56" t="s">
        <v>16</v>
      </c>
      <c r="F525" s="60">
        <v>1150000</v>
      </c>
      <c r="G525" s="60">
        <f t="shared" ref="G525:G532" si="7">C525*F525</f>
        <v>1150000</v>
      </c>
      <c r="H525" s="61"/>
    </row>
    <row r="526" spans="1:8" ht="15.6">
      <c r="A526" s="52"/>
      <c r="B526" s="58" t="s">
        <v>1285</v>
      </c>
      <c r="C526" s="59"/>
      <c r="D526" s="56"/>
      <c r="E526" s="56"/>
      <c r="F526" s="60"/>
      <c r="G526" s="60"/>
      <c r="H526" s="61"/>
    </row>
    <row r="527" spans="1:8" ht="15.6">
      <c r="A527" s="52"/>
      <c r="B527" s="581" t="s">
        <v>1283</v>
      </c>
      <c r="C527" s="59">
        <v>1</v>
      </c>
      <c r="D527" s="56" t="s">
        <v>15</v>
      </c>
      <c r="E527" s="56" t="s">
        <v>51</v>
      </c>
      <c r="F527" s="60">
        <v>125000</v>
      </c>
      <c r="G527" s="60">
        <f t="shared" si="7"/>
        <v>125000</v>
      </c>
      <c r="H527" s="61"/>
    </row>
    <row r="528" spans="1:8" ht="15.6">
      <c r="A528" s="52"/>
      <c r="B528" s="58" t="s">
        <v>1284</v>
      </c>
      <c r="C528" s="59"/>
      <c r="D528" s="56"/>
      <c r="E528" s="56"/>
      <c r="F528" s="60"/>
      <c r="G528" s="60"/>
      <c r="H528" s="61"/>
    </row>
    <row r="529" spans="1:8" ht="15.6">
      <c r="A529" s="52"/>
      <c r="B529" s="581" t="s">
        <v>1286</v>
      </c>
      <c r="C529" s="59">
        <v>1</v>
      </c>
      <c r="D529" s="56" t="s">
        <v>21</v>
      </c>
      <c r="E529" s="56" t="s">
        <v>51</v>
      </c>
      <c r="F529" s="60">
        <v>350000</v>
      </c>
      <c r="G529" s="60">
        <f t="shared" si="7"/>
        <v>350000</v>
      </c>
      <c r="H529" s="61"/>
    </row>
    <row r="530" spans="1:8" ht="15.6">
      <c r="A530" s="52"/>
      <c r="B530" s="581" t="s">
        <v>1287</v>
      </c>
      <c r="C530" s="59">
        <v>1</v>
      </c>
      <c r="D530" s="56" t="s">
        <v>15</v>
      </c>
      <c r="E530" s="56" t="s">
        <v>16</v>
      </c>
      <c r="F530" s="60">
        <v>1445499</v>
      </c>
      <c r="G530" s="60">
        <f t="shared" si="7"/>
        <v>1445499</v>
      </c>
      <c r="H530" s="61"/>
    </row>
    <row r="531" spans="1:8" ht="15.6">
      <c r="A531" s="52"/>
      <c r="B531" s="581" t="s">
        <v>1288</v>
      </c>
      <c r="C531" s="59">
        <v>1</v>
      </c>
      <c r="D531" s="56" t="s">
        <v>15</v>
      </c>
      <c r="E531" s="56" t="s">
        <v>16</v>
      </c>
      <c r="F531" s="60">
        <v>443813</v>
      </c>
      <c r="G531" s="60">
        <f t="shared" si="7"/>
        <v>443813</v>
      </c>
      <c r="H531" s="61"/>
    </row>
    <row r="532" spans="1:8" ht="15.6">
      <c r="A532" s="52"/>
      <c r="B532" s="581" t="s">
        <v>1289</v>
      </c>
      <c r="C532" s="59">
        <v>1</v>
      </c>
      <c r="D532" s="56" t="s">
        <v>69</v>
      </c>
      <c r="E532" s="56" t="s">
        <v>51</v>
      </c>
      <c r="F532" s="60">
        <v>350000</v>
      </c>
      <c r="G532" s="60">
        <f t="shared" si="7"/>
        <v>350000</v>
      </c>
      <c r="H532" s="61"/>
    </row>
    <row r="533" spans="1:8" ht="15.6">
      <c r="A533" s="950"/>
      <c r="B533" s="951"/>
      <c r="C533" s="952"/>
      <c r="D533" s="947"/>
      <c r="E533" s="947"/>
      <c r="F533" s="953"/>
      <c r="G533" s="954"/>
      <c r="H533" s="68"/>
    </row>
    <row r="534" spans="1:8" ht="17.399999999999999">
      <c r="A534" s="900"/>
      <c r="B534" s="901"/>
      <c r="C534" s="902"/>
      <c r="D534" s="903"/>
      <c r="E534" s="903"/>
      <c r="F534" s="904" t="s">
        <v>25</v>
      </c>
      <c r="G534" s="884">
        <f>SUM(G525:G533)</f>
        <v>3864312</v>
      </c>
      <c r="H534" s="879"/>
    </row>
    <row r="535" spans="1:8" ht="17.399999999999999">
      <c r="A535" s="900"/>
      <c r="B535" s="901"/>
      <c r="C535" s="902"/>
      <c r="D535" s="903"/>
      <c r="E535" s="903"/>
      <c r="F535" s="905" t="s">
        <v>26</v>
      </c>
      <c r="G535" s="884"/>
      <c r="H535" s="879"/>
    </row>
    <row r="536" spans="1:8" ht="17.399999999999999">
      <c r="A536" s="906"/>
      <c r="B536" s="907"/>
      <c r="C536" s="908"/>
      <c r="D536" s="909"/>
      <c r="E536" s="909"/>
      <c r="F536" s="910"/>
      <c r="G536" s="889"/>
      <c r="H536" s="895">
        <f>SUM(G534:G535)</f>
        <v>3864312</v>
      </c>
    </row>
    <row r="537" spans="1:8" ht="18" thickBot="1">
      <c r="A537" s="900"/>
      <c r="B537" s="911"/>
      <c r="C537" s="902"/>
      <c r="D537" s="903"/>
      <c r="E537" s="903"/>
      <c r="F537" s="912"/>
      <c r="G537" s="913"/>
      <c r="H537" s="887"/>
    </row>
    <row r="538" spans="1:8" ht="17.399999999999999">
      <c r="A538" s="914"/>
      <c r="B538" s="915"/>
      <c r="C538" s="916"/>
      <c r="D538" s="917"/>
      <c r="E538" s="917"/>
      <c r="F538" s="917"/>
      <c r="G538" s="918" t="s">
        <v>28</v>
      </c>
      <c r="H538" s="919">
        <f>SUM(H523:H536)</f>
        <v>3864312</v>
      </c>
    </row>
    <row r="539" spans="1:8" ht="18" thickBot="1">
      <c r="A539" s="920"/>
      <c r="B539" s="921"/>
      <c r="C539" s="922"/>
      <c r="D539" s="922"/>
      <c r="E539" s="923"/>
      <c r="F539" s="924"/>
      <c r="G539" s="925" t="s">
        <v>30</v>
      </c>
      <c r="H539" s="926">
        <f>ROUND(H538,-2)</f>
        <v>3864300</v>
      </c>
    </row>
    <row r="540" spans="1:8" ht="17.399999999999999">
      <c r="A540" s="901"/>
      <c r="B540" s="901"/>
      <c r="C540" s="955"/>
      <c r="D540" s="955"/>
      <c r="E540" s="903"/>
      <c r="F540" s="904"/>
      <c r="G540" s="901"/>
      <c r="H540" s="956"/>
    </row>
    <row r="541" spans="1:8" ht="17.399999999999999">
      <c r="A541" s="929" t="s">
        <v>549</v>
      </c>
      <c r="B541" s="901"/>
      <c r="C541" s="955"/>
      <c r="D541" s="955"/>
      <c r="E541" s="903"/>
      <c r="F541" s="904"/>
      <c r="G541" s="901"/>
      <c r="H541" s="956"/>
    </row>
    <row r="542" spans="1:8" ht="18">
      <c r="A542" s="901"/>
      <c r="B542" s="957" t="e">
        <f ca="1">PROPER([1]!terbilang(H539)&amp;" rupiah")</f>
        <v>#NAME?</v>
      </c>
      <c r="C542" s="955"/>
      <c r="D542" s="955"/>
      <c r="E542" s="903"/>
      <c r="F542" s="904"/>
      <c r="G542" s="901"/>
      <c r="H542" s="956"/>
    </row>
    <row r="543" spans="1:8" ht="17.399999999999999">
      <c r="A543" s="901"/>
      <c r="B543" s="901"/>
      <c r="C543" s="955"/>
      <c r="D543" s="955"/>
      <c r="E543" s="903"/>
      <c r="F543" s="904"/>
      <c r="G543" s="1577" t="s">
        <v>1277</v>
      </c>
      <c r="H543" s="1577"/>
    </row>
    <row r="544" spans="1:8" ht="18">
      <c r="A544" s="1530" t="s">
        <v>31</v>
      </c>
      <c r="B544" s="1530"/>
      <c r="C544" s="1530" t="s">
        <v>32</v>
      </c>
      <c r="D544" s="1530"/>
      <c r="E544" s="1530"/>
      <c r="F544" s="958"/>
      <c r="G544" s="1530" t="s">
        <v>33</v>
      </c>
      <c r="H544" s="1530"/>
    </row>
    <row r="545" spans="1:8" ht="18">
      <c r="A545" s="958"/>
      <c r="B545" s="958"/>
      <c r="C545" s="958"/>
      <c r="D545" s="958"/>
      <c r="E545" s="958"/>
      <c r="F545" s="958"/>
      <c r="G545" s="958"/>
      <c r="H545" s="958"/>
    </row>
    <row r="546" spans="1:8" ht="18">
      <c r="A546" s="958"/>
      <c r="B546" s="958"/>
      <c r="C546" s="958"/>
      <c r="D546" s="958"/>
      <c r="E546" s="958"/>
      <c r="F546" s="958"/>
      <c r="G546" s="958"/>
      <c r="H546" s="958"/>
    </row>
    <row r="547" spans="1:8" ht="18">
      <c r="A547" s="958"/>
      <c r="B547" s="958"/>
      <c r="C547" s="958"/>
      <c r="D547" s="958"/>
      <c r="E547" s="958"/>
      <c r="F547" s="958"/>
      <c r="G547" s="958"/>
      <c r="H547" s="958"/>
    </row>
    <row r="548" spans="1:8" ht="18">
      <c r="A548" s="958"/>
      <c r="B548" s="958"/>
      <c r="C548" s="958"/>
      <c r="D548" s="958"/>
      <c r="E548" s="958"/>
      <c r="F548" s="958"/>
      <c r="G548" s="958"/>
      <c r="H548" s="958"/>
    </row>
    <row r="549" spans="1:8" ht="18">
      <c r="A549" s="958"/>
      <c r="B549" s="958"/>
      <c r="C549" s="958"/>
      <c r="D549" s="958"/>
      <c r="E549" s="958"/>
      <c r="F549" s="958"/>
      <c r="G549" s="958"/>
      <c r="H549" s="958"/>
    </row>
    <row r="550" spans="1:8" ht="18">
      <c r="A550" s="1529" t="s">
        <v>34</v>
      </c>
      <c r="B550" s="1529"/>
      <c r="C550" s="1529" t="s">
        <v>36</v>
      </c>
      <c r="D550" s="1529"/>
      <c r="E550" s="1529"/>
      <c r="F550" s="958"/>
      <c r="G550" s="1529" t="s">
        <v>36</v>
      </c>
      <c r="H550" s="1529"/>
    </row>
    <row r="551" spans="1:8" ht="18">
      <c r="A551" s="1530" t="s">
        <v>37</v>
      </c>
      <c r="B551" s="1530"/>
      <c r="C551" s="1530" t="s">
        <v>492</v>
      </c>
      <c r="D551" s="1530"/>
      <c r="E551" s="1530"/>
      <c r="F551" s="958"/>
      <c r="G551" s="1530" t="s">
        <v>39</v>
      </c>
      <c r="H551" s="1530"/>
    </row>
    <row r="552" spans="1:8" ht="18">
      <c r="A552" s="959"/>
      <c r="B552" s="959"/>
      <c r="C552" s="959"/>
      <c r="D552" s="959"/>
      <c r="E552" s="959"/>
      <c r="F552" s="958"/>
      <c r="G552" s="959"/>
      <c r="H552" s="959"/>
    </row>
    <row r="553" spans="1:8" ht="18">
      <c r="A553" s="959"/>
      <c r="B553" s="959"/>
      <c r="C553" s="959"/>
      <c r="D553" s="959"/>
      <c r="E553" s="959"/>
      <c r="F553" s="958"/>
      <c r="G553" s="959"/>
      <c r="H553" s="959"/>
    </row>
    <row r="554" spans="1:8" ht="18">
      <c r="A554" s="959"/>
      <c r="B554" s="959"/>
      <c r="C554" s="959"/>
      <c r="D554" s="959"/>
      <c r="E554" s="959"/>
      <c r="F554" s="958"/>
      <c r="G554" s="959"/>
      <c r="H554" s="959"/>
    </row>
    <row r="556" spans="1:8" ht="23.4">
      <c r="A556" s="1537" t="s">
        <v>56</v>
      </c>
      <c r="B556" s="1537"/>
      <c r="C556" s="1537"/>
      <c r="D556" s="1537"/>
      <c r="E556" s="1537"/>
      <c r="F556" s="1537"/>
      <c r="G556" s="1537"/>
      <c r="H556" s="1537"/>
    </row>
    <row r="557" spans="1:8" ht="23.4">
      <c r="A557" s="1537" t="s">
        <v>1275</v>
      </c>
      <c r="B557" s="1537"/>
      <c r="C557" s="1537"/>
      <c r="D557" s="1537"/>
      <c r="E557" s="1537"/>
      <c r="F557" s="1537"/>
      <c r="G557" s="1537"/>
      <c r="H557" s="1537"/>
    </row>
    <row r="558" spans="1:8" ht="21">
      <c r="A558" s="1535" t="s">
        <v>1276</v>
      </c>
      <c r="B558" s="1535"/>
      <c r="C558" s="1535"/>
      <c r="D558" s="1535"/>
      <c r="E558" s="1535"/>
      <c r="F558" s="1535"/>
      <c r="G558" s="1535"/>
      <c r="H558" s="1535"/>
    </row>
    <row r="559" spans="1:8">
      <c r="A559" s="7"/>
      <c r="B559" s="7"/>
      <c r="C559" s="7"/>
      <c r="D559" s="7"/>
      <c r="E559" s="7"/>
      <c r="F559" s="7"/>
      <c r="G559" s="7"/>
      <c r="H559" s="7"/>
    </row>
    <row r="560" spans="1:8" ht="12.6" thickBot="1">
      <c r="A560" s="7"/>
      <c r="B560" s="7"/>
      <c r="C560" s="7"/>
      <c r="D560" s="7"/>
      <c r="E560" s="7"/>
      <c r="F560" s="7"/>
      <c r="G560" s="7"/>
      <c r="H560" s="7"/>
    </row>
    <row r="561" spans="1:8" ht="15.6">
      <c r="A561" s="1538" t="s">
        <v>3</v>
      </c>
      <c r="B561" s="1540" t="s">
        <v>4</v>
      </c>
      <c r="C561" s="1540" t="s">
        <v>5</v>
      </c>
      <c r="D561" s="1540" t="s">
        <v>6</v>
      </c>
      <c r="E561" s="1540" t="s">
        <v>7</v>
      </c>
      <c r="F561" s="8" t="s">
        <v>8</v>
      </c>
      <c r="G561" s="8" t="s">
        <v>9</v>
      </c>
      <c r="H561" s="9" t="s">
        <v>10</v>
      </c>
    </row>
    <row r="562" spans="1:8" ht="15.6">
      <c r="A562" s="1539"/>
      <c r="B562" s="1517"/>
      <c r="C562" s="1517"/>
      <c r="D562" s="1517"/>
      <c r="E562" s="1517"/>
      <c r="F562" s="10" t="s">
        <v>11</v>
      </c>
      <c r="G562" s="10" t="s">
        <v>11</v>
      </c>
      <c r="H562" s="11" t="s">
        <v>11</v>
      </c>
    </row>
    <row r="563" spans="1:8" ht="15.6">
      <c r="A563" s="52"/>
      <c r="B563" s="53"/>
      <c r="C563" s="54"/>
      <c r="D563" s="54"/>
      <c r="E563" s="54"/>
      <c r="F563" s="54"/>
      <c r="G563" s="54"/>
      <c r="H563" s="55"/>
    </row>
    <row r="564" spans="1:8" ht="15.6">
      <c r="A564" s="52" t="s">
        <v>12</v>
      </c>
      <c r="B564" s="53" t="s">
        <v>13</v>
      </c>
      <c r="C564" s="56"/>
      <c r="D564" s="56"/>
      <c r="E564" s="56"/>
      <c r="F564" s="56"/>
      <c r="G564" s="56"/>
      <c r="H564" s="57"/>
    </row>
    <row r="565" spans="1:8" ht="15.6">
      <c r="A565" s="52"/>
      <c r="B565" s="58" t="s">
        <v>1251</v>
      </c>
      <c r="C565" s="59"/>
      <c r="D565" s="56"/>
      <c r="E565" s="56"/>
      <c r="F565" s="60"/>
      <c r="G565" s="60"/>
      <c r="H565" s="61"/>
    </row>
    <row r="566" spans="1:8" ht="15.6">
      <c r="A566" s="52"/>
      <c r="B566" s="581" t="s">
        <v>1252</v>
      </c>
      <c r="C566" s="59">
        <v>6</v>
      </c>
      <c r="D566" s="56" t="s">
        <v>132</v>
      </c>
      <c r="E566" s="56" t="s">
        <v>891</v>
      </c>
      <c r="F566" s="942" t="s">
        <v>126</v>
      </c>
      <c r="G566" s="942" t="s">
        <v>126</v>
      </c>
      <c r="H566" s="62"/>
    </row>
    <row r="567" spans="1:8" ht="15.6">
      <c r="A567" s="52"/>
      <c r="B567" s="581" t="s">
        <v>1253</v>
      </c>
      <c r="C567" s="59">
        <v>3</v>
      </c>
      <c r="D567" s="56" t="s">
        <v>132</v>
      </c>
      <c r="E567" s="56" t="s">
        <v>891</v>
      </c>
      <c r="F567" s="942" t="s">
        <v>126</v>
      </c>
      <c r="G567" s="942" t="s">
        <v>126</v>
      </c>
      <c r="H567" s="61"/>
    </row>
    <row r="568" spans="1:8" ht="15.6">
      <c r="A568" s="52"/>
      <c r="B568" s="581" t="s">
        <v>1254</v>
      </c>
      <c r="C568" s="59">
        <v>2</v>
      </c>
      <c r="D568" s="56" t="s">
        <v>15</v>
      </c>
      <c r="E568" s="56" t="s">
        <v>891</v>
      </c>
      <c r="F568" s="942" t="s">
        <v>126</v>
      </c>
      <c r="G568" s="942" t="s">
        <v>126</v>
      </c>
      <c r="H568" s="61"/>
    </row>
    <row r="569" spans="1:8" ht="15.6">
      <c r="A569" s="52"/>
      <c r="B569" s="581" t="s">
        <v>1255</v>
      </c>
      <c r="C569" s="59">
        <v>1</v>
      </c>
      <c r="D569" s="56" t="s">
        <v>15</v>
      </c>
      <c r="E569" s="56" t="s">
        <v>891</v>
      </c>
      <c r="F569" s="942" t="s">
        <v>126</v>
      </c>
      <c r="G569" s="942" t="s">
        <v>126</v>
      </c>
      <c r="H569" s="61"/>
    </row>
    <row r="570" spans="1:8" ht="15.6">
      <c r="A570" s="52"/>
      <c r="B570" s="581" t="s">
        <v>1256</v>
      </c>
      <c r="C570" s="59">
        <v>2</v>
      </c>
      <c r="D570" s="56" t="s">
        <v>15</v>
      </c>
      <c r="E570" s="56" t="s">
        <v>891</v>
      </c>
      <c r="F570" s="942" t="s">
        <v>126</v>
      </c>
      <c r="G570" s="942" t="s">
        <v>126</v>
      </c>
      <c r="H570" s="61"/>
    </row>
    <row r="571" spans="1:8" ht="15.6">
      <c r="A571" s="52"/>
      <c r="B571" s="581" t="s">
        <v>1257</v>
      </c>
      <c r="C571" s="59">
        <v>1</v>
      </c>
      <c r="D571" s="56" t="s">
        <v>15</v>
      </c>
      <c r="E571" s="56" t="s">
        <v>891</v>
      </c>
      <c r="F571" s="942" t="s">
        <v>126</v>
      </c>
      <c r="G571" s="942" t="s">
        <v>126</v>
      </c>
      <c r="H571" s="61"/>
    </row>
    <row r="572" spans="1:8" ht="15.6">
      <c r="A572" s="52"/>
      <c r="B572" s="581" t="s">
        <v>1258</v>
      </c>
      <c r="C572" s="59">
        <v>3</v>
      </c>
      <c r="D572" s="56" t="s">
        <v>15</v>
      </c>
      <c r="E572" s="56" t="s">
        <v>16</v>
      </c>
      <c r="F572" s="60">
        <v>75000</v>
      </c>
      <c r="G572" s="60">
        <f>C572*F572</f>
        <v>225000</v>
      </c>
      <c r="H572" s="61"/>
    </row>
    <row r="573" spans="1:8" ht="15.6">
      <c r="A573" s="52"/>
      <c r="B573" s="581" t="s">
        <v>1278</v>
      </c>
      <c r="C573" s="59">
        <v>1</v>
      </c>
      <c r="D573" s="56" t="s">
        <v>15</v>
      </c>
      <c r="E573" s="56" t="s">
        <v>51</v>
      </c>
      <c r="F573" s="60">
        <v>150000</v>
      </c>
      <c r="G573" s="60">
        <f>C573*F573</f>
        <v>150000</v>
      </c>
      <c r="H573" s="61"/>
    </row>
    <row r="574" spans="1:8" ht="15.6">
      <c r="A574" s="944"/>
      <c r="B574" s="945"/>
      <c r="C574" s="946"/>
      <c r="D574" s="947"/>
      <c r="E574" s="947"/>
      <c r="F574" s="948"/>
      <c r="G574" s="948"/>
      <c r="H574" s="949">
        <f>SUM(G565:G573)</f>
        <v>375000</v>
      </c>
    </row>
    <row r="575" spans="1:8" ht="15.6">
      <c r="A575" s="52" t="s">
        <v>18</v>
      </c>
      <c r="B575" s="53" t="s">
        <v>19</v>
      </c>
      <c r="C575" s="59"/>
      <c r="D575" s="56"/>
      <c r="E575" s="56"/>
      <c r="F575" s="60"/>
      <c r="G575" s="60"/>
      <c r="H575" s="61"/>
    </row>
    <row r="576" spans="1:8" ht="15.6">
      <c r="A576" s="52"/>
      <c r="B576" s="58" t="s">
        <v>1259</v>
      </c>
      <c r="C576" s="59"/>
      <c r="D576" s="56"/>
      <c r="E576" s="56"/>
      <c r="F576" s="60"/>
      <c r="G576" s="60"/>
      <c r="H576" s="61"/>
    </row>
    <row r="577" spans="1:12" ht="15.6">
      <c r="A577" s="52"/>
      <c r="B577" s="581" t="s">
        <v>1260</v>
      </c>
      <c r="C577" s="59">
        <v>1</v>
      </c>
      <c r="D577" s="56" t="s">
        <v>69</v>
      </c>
      <c r="E577" s="56" t="s">
        <v>51</v>
      </c>
      <c r="F577" s="60">
        <v>1500000</v>
      </c>
      <c r="G577" s="60">
        <f t="shared" ref="G577:G582" si="8">C577*F577</f>
        <v>1500000</v>
      </c>
      <c r="H577" s="61"/>
    </row>
    <row r="578" spans="1:12" ht="15.6">
      <c r="A578" s="52"/>
      <c r="B578" s="581" t="s">
        <v>1261</v>
      </c>
      <c r="C578" s="59">
        <v>1</v>
      </c>
      <c r="D578" s="56" t="s">
        <v>69</v>
      </c>
      <c r="E578" s="56" t="s">
        <v>51</v>
      </c>
      <c r="F578" s="60">
        <v>350000</v>
      </c>
      <c r="G578" s="60">
        <f t="shared" si="8"/>
        <v>350000</v>
      </c>
      <c r="H578" s="61"/>
    </row>
    <row r="579" spans="1:12" ht="15.6">
      <c r="A579" s="52"/>
      <c r="B579" s="581" t="s">
        <v>1262</v>
      </c>
      <c r="C579" s="59">
        <v>2</v>
      </c>
      <c r="D579" s="56" t="s">
        <v>21</v>
      </c>
      <c r="E579" s="56" t="s">
        <v>51</v>
      </c>
      <c r="F579" s="60">
        <v>500000</v>
      </c>
      <c r="G579" s="60">
        <f t="shared" si="8"/>
        <v>1000000</v>
      </c>
      <c r="H579" s="61"/>
    </row>
    <row r="580" spans="1:12" ht="15.6">
      <c r="A580" s="52"/>
      <c r="B580" s="581" t="s">
        <v>1263</v>
      </c>
      <c r="C580" s="59">
        <v>1</v>
      </c>
      <c r="D580" s="56" t="s">
        <v>21</v>
      </c>
      <c r="E580" s="56" t="s">
        <v>51</v>
      </c>
      <c r="F580" s="60">
        <v>700000</v>
      </c>
      <c r="G580" s="60">
        <f t="shared" si="8"/>
        <v>700000</v>
      </c>
      <c r="H580" s="61"/>
    </row>
    <row r="581" spans="1:12" ht="15.6">
      <c r="A581" s="52"/>
      <c r="B581" s="581" t="s">
        <v>1264</v>
      </c>
      <c r="C581" s="59">
        <v>2</v>
      </c>
      <c r="D581" s="56" t="s">
        <v>21</v>
      </c>
      <c r="E581" s="56" t="s">
        <v>51</v>
      </c>
      <c r="F581" s="60">
        <v>1500000</v>
      </c>
      <c r="G581" s="60">
        <f t="shared" si="8"/>
        <v>3000000</v>
      </c>
      <c r="H581" s="61"/>
    </row>
    <row r="582" spans="1:12" ht="15.6">
      <c r="A582" s="52"/>
      <c r="B582" s="581" t="s">
        <v>1265</v>
      </c>
      <c r="C582" s="59">
        <v>1</v>
      </c>
      <c r="D582" s="56" t="s">
        <v>21</v>
      </c>
      <c r="E582" s="56" t="s">
        <v>51</v>
      </c>
      <c r="F582" s="60">
        <v>1950000</v>
      </c>
      <c r="G582" s="60">
        <f t="shared" si="8"/>
        <v>1950000</v>
      </c>
      <c r="H582" s="61"/>
    </row>
    <row r="583" spans="1:12" ht="15.6">
      <c r="A583" s="52"/>
      <c r="B583" s="58"/>
      <c r="C583" s="59"/>
      <c r="D583" s="56"/>
      <c r="E583" s="56"/>
      <c r="F583" s="60"/>
      <c r="G583" s="60"/>
      <c r="H583" s="61"/>
    </row>
    <row r="584" spans="1:12" ht="15.6">
      <c r="A584" s="52"/>
      <c r="B584" s="58" t="s">
        <v>1266</v>
      </c>
      <c r="C584" s="59"/>
      <c r="D584" s="56"/>
      <c r="E584" s="56"/>
      <c r="F584" s="60"/>
      <c r="G584" s="60"/>
      <c r="H584" s="61"/>
    </row>
    <row r="585" spans="1:12" ht="15.6">
      <c r="A585" s="52"/>
      <c r="B585" s="581" t="s">
        <v>1267</v>
      </c>
      <c r="C585" s="59">
        <v>119</v>
      </c>
      <c r="D585" s="56" t="s">
        <v>81</v>
      </c>
      <c r="E585" s="56" t="s">
        <v>82</v>
      </c>
      <c r="F585" s="60">
        <v>4786.5</v>
      </c>
      <c r="G585" s="60">
        <f>C585*F585</f>
        <v>569593.5</v>
      </c>
      <c r="H585" s="73"/>
    </row>
    <row r="586" spans="1:12" ht="15.6">
      <c r="A586" s="52"/>
      <c r="B586" s="581" t="s">
        <v>1268</v>
      </c>
      <c r="C586" s="942">
        <v>693</v>
      </c>
      <c r="D586" s="56" t="s">
        <v>84</v>
      </c>
      <c r="E586" s="56" t="s">
        <v>82</v>
      </c>
      <c r="F586" s="60">
        <v>3200.16</v>
      </c>
      <c r="G586" s="60">
        <f>C586*F586</f>
        <v>2217710.88</v>
      </c>
      <c r="H586" s="73"/>
    </row>
    <row r="587" spans="1:12" ht="15.6">
      <c r="A587" s="52"/>
      <c r="B587" s="581" t="s">
        <v>1269</v>
      </c>
      <c r="C587" s="943">
        <v>595</v>
      </c>
      <c r="D587" s="56" t="s">
        <v>84</v>
      </c>
      <c r="E587" s="56" t="s">
        <v>82</v>
      </c>
      <c r="F587" s="60">
        <v>3200.16</v>
      </c>
      <c r="G587" s="60">
        <f>C587*F587</f>
        <v>1904095.2</v>
      </c>
      <c r="H587" s="61"/>
      <c r="L587" s="1">
        <f>253*51729.21</f>
        <v>13087490.129999999</v>
      </c>
    </row>
    <row r="588" spans="1:12" ht="15.6">
      <c r="A588" s="52"/>
      <c r="B588" s="581" t="s">
        <v>1270</v>
      </c>
      <c r="C588" s="75">
        <v>71.400000000000006</v>
      </c>
      <c r="D588" s="56" t="s">
        <v>84</v>
      </c>
      <c r="E588" s="56" t="s">
        <v>87</v>
      </c>
      <c r="F588" s="60">
        <v>51729.21</v>
      </c>
      <c r="G588" s="60">
        <f>C588*F588</f>
        <v>3693465.594</v>
      </c>
      <c r="H588" s="61"/>
    </row>
    <row r="589" spans="1:12" ht="15.6">
      <c r="A589" s="52"/>
      <c r="B589" s="58"/>
      <c r="C589" s="59"/>
      <c r="D589" s="56"/>
      <c r="E589" s="56"/>
      <c r="F589" s="60"/>
      <c r="G589" s="60"/>
      <c r="H589" s="61"/>
    </row>
    <row r="590" spans="1:12" ht="15.6">
      <c r="A590" s="52"/>
      <c r="B590" s="58" t="s">
        <v>1271</v>
      </c>
      <c r="C590" s="59"/>
      <c r="D590" s="56"/>
      <c r="E590" s="56"/>
      <c r="F590" s="60"/>
      <c r="G590" s="60"/>
      <c r="H590" s="61"/>
      <c r="K590" s="1">
        <f>H604</f>
        <v>42888100</v>
      </c>
    </row>
    <row r="591" spans="1:12" ht="15.6">
      <c r="A591" s="52"/>
      <c r="B591" s="581" t="s">
        <v>1272</v>
      </c>
      <c r="C591" s="59">
        <v>384</v>
      </c>
      <c r="D591" s="56" t="s">
        <v>81</v>
      </c>
      <c r="E591" s="56" t="s">
        <v>82</v>
      </c>
      <c r="F591" s="60">
        <v>4786.5</v>
      </c>
      <c r="G591" s="60">
        <f>C591*F591</f>
        <v>1838016</v>
      </c>
      <c r="H591" s="61"/>
    </row>
    <row r="592" spans="1:12" ht="15.6">
      <c r="A592" s="52"/>
      <c r="B592" s="581" t="s">
        <v>1268</v>
      </c>
      <c r="C592" s="59">
        <v>945</v>
      </c>
      <c r="D592" s="56" t="s">
        <v>84</v>
      </c>
      <c r="E592" s="56" t="s">
        <v>82</v>
      </c>
      <c r="F592" s="60">
        <v>3200.16</v>
      </c>
      <c r="G592" s="60">
        <f>C592*F592</f>
        <v>3024151.1999999997</v>
      </c>
      <c r="H592" s="61"/>
    </row>
    <row r="593" spans="1:8" ht="15.6">
      <c r="A593" s="52"/>
      <c r="B593" s="581" t="s">
        <v>1269</v>
      </c>
      <c r="C593" s="59">
        <v>1098</v>
      </c>
      <c r="D593" s="56" t="s">
        <v>84</v>
      </c>
      <c r="E593" s="56" t="s">
        <v>82</v>
      </c>
      <c r="F593" s="60">
        <v>3200.16</v>
      </c>
      <c r="G593" s="60">
        <f>C593*F593</f>
        <v>3513775.6799999997</v>
      </c>
      <c r="H593" s="61"/>
    </row>
    <row r="594" spans="1:8" ht="15.6">
      <c r="A594" s="52"/>
      <c r="B594" s="581" t="s">
        <v>1273</v>
      </c>
      <c r="C594" s="59">
        <v>253</v>
      </c>
      <c r="D594" s="56" t="s">
        <v>81</v>
      </c>
      <c r="E594" s="56" t="s">
        <v>87</v>
      </c>
      <c r="F594" s="60">
        <v>51729.21</v>
      </c>
      <c r="G594" s="60">
        <f>C594*F594</f>
        <v>13087490.129999999</v>
      </c>
      <c r="H594" s="61"/>
    </row>
    <row r="595" spans="1:8" ht="15.6">
      <c r="A595" s="52"/>
      <c r="B595" s="58"/>
      <c r="C595" s="59"/>
      <c r="D595" s="56"/>
      <c r="E595" s="56"/>
      <c r="F595" s="60"/>
      <c r="G595" s="60"/>
      <c r="H595" s="61"/>
    </row>
    <row r="596" spans="1:8" ht="15.6">
      <c r="A596" s="52"/>
      <c r="B596" s="58" t="s">
        <v>1274</v>
      </c>
      <c r="C596" s="59">
        <v>1</v>
      </c>
      <c r="D596" s="56" t="s">
        <v>69</v>
      </c>
      <c r="E596" s="56" t="s">
        <v>51</v>
      </c>
      <c r="F596" s="60">
        <v>300000</v>
      </c>
      <c r="G596" s="60">
        <f>C596*F596</f>
        <v>300000</v>
      </c>
      <c r="H596" s="61"/>
    </row>
    <row r="597" spans="1:8" ht="15.6">
      <c r="A597" s="52"/>
      <c r="B597" s="58"/>
      <c r="C597" s="59"/>
      <c r="D597" s="56"/>
      <c r="E597" s="56"/>
      <c r="F597" s="60"/>
      <c r="G597" s="60"/>
      <c r="H597" s="61"/>
    </row>
    <row r="598" spans="1:8" ht="15.6">
      <c r="A598" s="950"/>
      <c r="B598" s="951"/>
      <c r="C598" s="952"/>
      <c r="D598" s="947"/>
      <c r="E598" s="947"/>
      <c r="F598" s="953"/>
      <c r="G598" s="954"/>
      <c r="H598" s="68"/>
    </row>
    <row r="599" spans="1:8" ht="17.399999999999999">
      <c r="A599" s="900"/>
      <c r="B599" s="901"/>
      <c r="C599" s="902"/>
      <c r="D599" s="903"/>
      <c r="E599" s="903"/>
      <c r="F599" s="904" t="s">
        <v>25</v>
      </c>
      <c r="G599" s="884">
        <f>SUM(G576:G598)</f>
        <v>38648298.184</v>
      </c>
      <c r="H599" s="879"/>
    </row>
    <row r="600" spans="1:8" ht="17.399999999999999">
      <c r="A600" s="900"/>
      <c r="B600" s="901"/>
      <c r="C600" s="902"/>
      <c r="D600" s="903"/>
      <c r="E600" s="903"/>
      <c r="F600" s="905" t="s">
        <v>26</v>
      </c>
      <c r="G600" s="884">
        <f>G599/10</f>
        <v>3864829.8184000002</v>
      </c>
      <c r="H600" s="879"/>
    </row>
    <row r="601" spans="1:8" ht="17.399999999999999">
      <c r="A601" s="906"/>
      <c r="B601" s="907"/>
      <c r="C601" s="908"/>
      <c r="D601" s="909"/>
      <c r="E601" s="909"/>
      <c r="F601" s="910"/>
      <c r="G601" s="889"/>
      <c r="H601" s="895">
        <f>SUM(G599:G600)</f>
        <v>42513128.002400003</v>
      </c>
    </row>
    <row r="602" spans="1:8" ht="18" thickBot="1">
      <c r="A602" s="900"/>
      <c r="B602" s="911"/>
      <c r="C602" s="902"/>
      <c r="D602" s="903"/>
      <c r="E602" s="903"/>
      <c r="F602" s="912"/>
      <c r="G602" s="913"/>
      <c r="H602" s="887"/>
    </row>
    <row r="603" spans="1:8" ht="17.399999999999999">
      <c r="A603" s="914"/>
      <c r="B603" s="915"/>
      <c r="C603" s="916"/>
      <c r="D603" s="917"/>
      <c r="E603" s="917"/>
      <c r="F603" s="917"/>
      <c r="G603" s="918" t="s">
        <v>28</v>
      </c>
      <c r="H603" s="919">
        <f>SUM(H567:H601)</f>
        <v>42888128.002400003</v>
      </c>
    </row>
    <row r="604" spans="1:8" ht="18" thickBot="1">
      <c r="A604" s="920"/>
      <c r="B604" s="921"/>
      <c r="C604" s="922"/>
      <c r="D604" s="922"/>
      <c r="E604" s="923"/>
      <c r="F604" s="924"/>
      <c r="G604" s="925" t="s">
        <v>30</v>
      </c>
      <c r="H604" s="926">
        <f>ROUND(H603,-2)</f>
        <v>42888100</v>
      </c>
    </row>
    <row r="605" spans="1:8" ht="17.399999999999999">
      <c r="A605" s="901"/>
      <c r="B605" s="901"/>
      <c r="C605" s="955"/>
      <c r="D605" s="955"/>
      <c r="E605" s="903"/>
      <c r="F605" s="904"/>
      <c r="G605" s="901"/>
      <c r="H605" s="956"/>
    </row>
    <row r="606" spans="1:8" ht="17.399999999999999">
      <c r="A606" s="929" t="s">
        <v>549</v>
      </c>
      <c r="B606" s="901"/>
      <c r="C606" s="955"/>
      <c r="D606" s="955"/>
      <c r="E606" s="903"/>
      <c r="F606" s="904"/>
      <c r="G606" s="901"/>
      <c r="H606" s="956"/>
    </row>
    <row r="607" spans="1:8" ht="18">
      <c r="A607" s="901"/>
      <c r="B607" s="957" t="s">
        <v>1517</v>
      </c>
      <c r="C607" s="955"/>
      <c r="D607" s="955"/>
      <c r="E607" s="903"/>
      <c r="F607" s="904"/>
      <c r="G607" s="901"/>
      <c r="H607" s="956"/>
    </row>
    <row r="608" spans="1:8" ht="17.399999999999999">
      <c r="A608" s="901"/>
      <c r="B608" s="901"/>
      <c r="C608" s="955"/>
      <c r="D608" s="955"/>
      <c r="E608" s="903"/>
      <c r="F608" s="904"/>
      <c r="G608" s="1577" t="s">
        <v>1516</v>
      </c>
      <c r="H608" s="1577"/>
    </row>
    <row r="609" spans="1:8" ht="18">
      <c r="A609" s="1530" t="s">
        <v>31</v>
      </c>
      <c r="B609" s="1530"/>
      <c r="C609" s="1530" t="s">
        <v>32</v>
      </c>
      <c r="D609" s="1530"/>
      <c r="E609" s="1530"/>
      <c r="F609" s="958"/>
      <c r="G609" s="1530" t="s">
        <v>33</v>
      </c>
      <c r="H609" s="1530"/>
    </row>
    <row r="610" spans="1:8" ht="18">
      <c r="A610" s="958"/>
      <c r="B610" s="958"/>
      <c r="C610" s="958"/>
      <c r="D610" s="958"/>
      <c r="E610" s="958"/>
      <c r="F610" s="958"/>
      <c r="G610" s="958"/>
      <c r="H610" s="958"/>
    </row>
    <row r="611" spans="1:8" ht="18">
      <c r="A611" s="958"/>
      <c r="B611" s="958"/>
      <c r="C611" s="958"/>
      <c r="D611" s="958"/>
      <c r="E611" s="958"/>
      <c r="F611" s="958"/>
      <c r="G611" s="958"/>
      <c r="H611" s="958"/>
    </row>
    <row r="612" spans="1:8" ht="18">
      <c r="A612" s="958"/>
      <c r="B612" s="958"/>
      <c r="C612" s="958"/>
      <c r="D612" s="958"/>
      <c r="E612" s="958"/>
      <c r="F612" s="958"/>
      <c r="G612" s="958"/>
      <c r="H612" s="958"/>
    </row>
    <row r="613" spans="1:8" ht="18">
      <c r="A613" s="958"/>
      <c r="B613" s="958"/>
      <c r="C613" s="958"/>
      <c r="D613" s="958"/>
      <c r="E613" s="958"/>
      <c r="F613" s="958"/>
      <c r="G613" s="958"/>
      <c r="H613" s="958"/>
    </row>
    <row r="614" spans="1:8" ht="18">
      <c r="A614" s="958"/>
      <c r="B614" s="958"/>
      <c r="C614" s="958"/>
      <c r="D614" s="958"/>
      <c r="E614" s="958"/>
      <c r="F614" s="958"/>
      <c r="G614" s="958"/>
      <c r="H614" s="958"/>
    </row>
    <row r="615" spans="1:8" ht="18">
      <c r="A615" s="1529" t="s">
        <v>34</v>
      </c>
      <c r="B615" s="1529"/>
      <c r="C615" s="1529" t="s">
        <v>1147</v>
      </c>
      <c r="D615" s="1529"/>
      <c r="E615" s="1529"/>
      <c r="F615" s="958"/>
      <c r="G615" s="1529" t="s">
        <v>36</v>
      </c>
      <c r="H615" s="1529"/>
    </row>
    <row r="616" spans="1:8" ht="18">
      <c r="A616" s="1530" t="s">
        <v>37</v>
      </c>
      <c r="B616" s="1530"/>
      <c r="C616" s="1530" t="s">
        <v>38</v>
      </c>
      <c r="D616" s="1530"/>
      <c r="E616" s="1530"/>
      <c r="F616" s="958"/>
      <c r="G616" s="1530" t="s">
        <v>39</v>
      </c>
      <c r="H616" s="1530"/>
    </row>
    <row r="619" spans="1:8" ht="28.8">
      <c r="A619" s="597"/>
      <c r="B619" s="597"/>
      <c r="C619" s="1513" t="s">
        <v>235</v>
      </c>
      <c r="D619" s="1513"/>
      <c r="E619" s="1513"/>
      <c r="F619" s="1513"/>
      <c r="G619" s="1513"/>
      <c r="H619" s="1513"/>
    </row>
    <row r="620" spans="1:8" ht="25.8">
      <c r="A620" s="598"/>
      <c r="B620" s="598"/>
      <c r="C620" s="1537" t="s">
        <v>952</v>
      </c>
      <c r="D620" s="1537"/>
      <c r="E620" s="1537"/>
      <c r="F620" s="1537"/>
      <c r="G620" s="1537"/>
      <c r="H620" s="1537"/>
    </row>
    <row r="621" spans="1:8" ht="25.8">
      <c r="A621" s="598"/>
      <c r="B621" s="598"/>
      <c r="C621" s="1537" t="s">
        <v>953</v>
      </c>
      <c r="D621" s="1537"/>
      <c r="E621" s="1537"/>
      <c r="F621" s="1537"/>
      <c r="G621" s="1537"/>
      <c r="H621" s="1537"/>
    </row>
    <row r="622" spans="1:8" ht="21">
      <c r="A622" s="599"/>
      <c r="B622" s="599"/>
      <c r="C622" s="1536" t="s">
        <v>954</v>
      </c>
      <c r="D622" s="1536"/>
      <c r="E622" s="1536"/>
      <c r="F622" s="1536"/>
      <c r="G622" s="1536"/>
      <c r="H622" s="1536"/>
    </row>
    <row r="623" spans="1:8">
      <c r="A623" s="7"/>
      <c r="B623" s="7"/>
      <c r="C623" s="7"/>
      <c r="D623" s="7"/>
      <c r="E623" s="7"/>
      <c r="F623" s="7"/>
      <c r="G623" s="7"/>
      <c r="H623" s="7"/>
    </row>
    <row r="624" spans="1:8" ht="12.6" thickBot="1">
      <c r="A624" s="7"/>
      <c r="B624" s="7"/>
      <c r="C624" s="7"/>
      <c r="D624" s="7"/>
      <c r="E624" s="7"/>
      <c r="F624" s="7"/>
      <c r="G624" s="7"/>
      <c r="H624" s="7"/>
    </row>
    <row r="625" spans="1:8" ht="17.399999999999999">
      <c r="A625" s="1579" t="s">
        <v>3</v>
      </c>
      <c r="B625" s="1581" t="s">
        <v>4</v>
      </c>
      <c r="C625" s="1581" t="s">
        <v>5</v>
      </c>
      <c r="D625" s="1581" t="s">
        <v>6</v>
      </c>
      <c r="E625" s="1581" t="s">
        <v>7</v>
      </c>
      <c r="F625" s="868" t="s">
        <v>8</v>
      </c>
      <c r="G625" s="868" t="s">
        <v>9</v>
      </c>
      <c r="H625" s="869" t="s">
        <v>10</v>
      </c>
    </row>
    <row r="626" spans="1:8" ht="17.399999999999999">
      <c r="A626" s="1580"/>
      <c r="B626" s="1582"/>
      <c r="C626" s="1582"/>
      <c r="D626" s="1582"/>
      <c r="E626" s="1582"/>
      <c r="F626" s="871" t="s">
        <v>11</v>
      </c>
      <c r="G626" s="871" t="s">
        <v>11</v>
      </c>
      <c r="H626" s="872" t="s">
        <v>11</v>
      </c>
    </row>
    <row r="627" spans="1:8" ht="17.399999999999999">
      <c r="A627" s="873" t="s">
        <v>12</v>
      </c>
      <c r="B627" s="874" t="s">
        <v>13</v>
      </c>
      <c r="C627" s="875"/>
      <c r="D627" s="876"/>
      <c r="E627" s="876"/>
      <c r="F627" s="877"/>
      <c r="G627" s="878"/>
      <c r="H627" s="879"/>
    </row>
    <row r="628" spans="1:8" ht="17.399999999999999">
      <c r="A628" s="873"/>
      <c r="B628" s="880" t="s">
        <v>956</v>
      </c>
      <c r="C628" s="881">
        <v>2</v>
      </c>
      <c r="D628" s="882" t="s">
        <v>334</v>
      </c>
      <c r="E628" s="876" t="s">
        <v>421</v>
      </c>
      <c r="F628" s="883">
        <v>6550000</v>
      </c>
      <c r="G628" s="884">
        <f>F628*C628</f>
        <v>13100000</v>
      </c>
      <c r="H628" s="885"/>
    </row>
    <row r="629" spans="1:8" ht="17.399999999999999">
      <c r="A629" s="873"/>
      <c r="B629" s="877" t="s">
        <v>955</v>
      </c>
      <c r="C629" s="881"/>
      <c r="D629" s="882"/>
      <c r="E629" s="876"/>
      <c r="F629" s="883"/>
      <c r="G629" s="884"/>
      <c r="H629" s="885"/>
    </row>
    <row r="630" spans="1:8" ht="17.399999999999999">
      <c r="A630" s="873"/>
      <c r="B630" s="877" t="s">
        <v>957</v>
      </c>
      <c r="C630" s="881"/>
      <c r="D630" s="882"/>
      <c r="E630" s="876"/>
      <c r="F630" s="883"/>
      <c r="G630" s="884"/>
      <c r="H630" s="885"/>
    </row>
    <row r="631" spans="1:8" ht="17.399999999999999">
      <c r="A631" s="873"/>
      <c r="B631" s="877" t="s">
        <v>958</v>
      </c>
      <c r="C631" s="881"/>
      <c r="D631" s="882"/>
      <c r="E631" s="876"/>
      <c r="F631" s="883"/>
      <c r="G631" s="884"/>
      <c r="H631" s="885"/>
    </row>
    <row r="632" spans="1:8" ht="17.399999999999999">
      <c r="A632" s="873"/>
      <c r="B632" s="880" t="s">
        <v>1218</v>
      </c>
      <c r="C632" s="881">
        <v>36</v>
      </c>
      <c r="D632" s="882" t="s">
        <v>919</v>
      </c>
      <c r="E632" s="876" t="s">
        <v>408</v>
      </c>
      <c r="F632" s="883">
        <v>3791</v>
      </c>
      <c r="G632" s="884">
        <f t="shared" ref="G632:G638" si="9">F632*C632</f>
        <v>136476</v>
      </c>
      <c r="H632" s="885"/>
    </row>
    <row r="633" spans="1:8" ht="17.399999999999999">
      <c r="A633" s="873"/>
      <c r="B633" s="880" t="s">
        <v>1219</v>
      </c>
      <c r="C633" s="881">
        <v>10</v>
      </c>
      <c r="D633" s="882" t="s">
        <v>893</v>
      </c>
      <c r="E633" s="876" t="s">
        <v>421</v>
      </c>
      <c r="F633" s="883">
        <v>2000</v>
      </c>
      <c r="G633" s="884">
        <f t="shared" si="9"/>
        <v>20000</v>
      </c>
      <c r="H633" s="885"/>
    </row>
    <row r="634" spans="1:8" ht="17.399999999999999">
      <c r="A634" s="886"/>
      <c r="B634" s="880" t="s">
        <v>961</v>
      </c>
      <c r="C634" s="881">
        <v>2</v>
      </c>
      <c r="D634" s="882" t="s">
        <v>964</v>
      </c>
      <c r="E634" s="876" t="s">
        <v>421</v>
      </c>
      <c r="F634" s="883">
        <v>7500</v>
      </c>
      <c r="G634" s="884">
        <f t="shared" si="9"/>
        <v>15000</v>
      </c>
      <c r="H634" s="887"/>
    </row>
    <row r="635" spans="1:8" ht="17.399999999999999">
      <c r="A635" s="886"/>
      <c r="B635" s="880" t="s">
        <v>1167</v>
      </c>
      <c r="C635" s="881">
        <v>50</v>
      </c>
      <c r="D635" s="882" t="s">
        <v>919</v>
      </c>
      <c r="E635" s="876" t="s">
        <v>421</v>
      </c>
      <c r="F635" s="883">
        <v>20500</v>
      </c>
      <c r="G635" s="884">
        <f t="shared" si="9"/>
        <v>1025000</v>
      </c>
      <c r="H635" s="887"/>
    </row>
    <row r="636" spans="1:8" ht="17.399999999999999">
      <c r="A636" s="886"/>
      <c r="B636" s="880" t="s">
        <v>1168</v>
      </c>
      <c r="C636" s="881">
        <v>2</v>
      </c>
      <c r="D636" s="882" t="s">
        <v>893</v>
      </c>
      <c r="E636" s="876" t="s">
        <v>421</v>
      </c>
      <c r="F636" s="883">
        <v>230000</v>
      </c>
      <c r="G636" s="884">
        <f t="shared" si="9"/>
        <v>460000</v>
      </c>
      <c r="H636" s="887"/>
    </row>
    <row r="637" spans="1:8" ht="17.399999999999999">
      <c r="A637" s="886"/>
      <c r="B637" s="880" t="s">
        <v>965</v>
      </c>
      <c r="C637" s="881">
        <v>2</v>
      </c>
      <c r="D637" s="882" t="s">
        <v>334</v>
      </c>
      <c r="E637" s="876" t="s">
        <v>421</v>
      </c>
      <c r="F637" s="883">
        <v>60750</v>
      </c>
      <c r="G637" s="884">
        <f t="shared" si="9"/>
        <v>121500</v>
      </c>
      <c r="H637" s="887"/>
    </row>
    <row r="638" spans="1:8" ht="17.399999999999999">
      <c r="A638" s="886"/>
      <c r="B638" s="880" t="s">
        <v>985</v>
      </c>
      <c r="C638" s="881">
        <v>2</v>
      </c>
      <c r="D638" s="882" t="s">
        <v>400</v>
      </c>
      <c r="E638" s="876" t="s">
        <v>421</v>
      </c>
      <c r="F638" s="883">
        <v>45000</v>
      </c>
      <c r="G638" s="884">
        <f t="shared" si="9"/>
        <v>90000</v>
      </c>
      <c r="H638" s="887"/>
    </row>
    <row r="639" spans="1:8" ht="17.399999999999999">
      <c r="A639" s="888"/>
      <c r="B639" s="889"/>
      <c r="C639" s="890"/>
      <c r="D639" s="891"/>
      <c r="E639" s="892"/>
      <c r="F639" s="893"/>
      <c r="G639" s="894"/>
      <c r="H639" s="895">
        <f>SUM(G628:G638)</f>
        <v>14967976</v>
      </c>
    </row>
    <row r="640" spans="1:8" ht="17.399999999999999">
      <c r="A640" s="873" t="s">
        <v>18</v>
      </c>
      <c r="B640" s="874" t="s">
        <v>19</v>
      </c>
      <c r="C640" s="881"/>
      <c r="D640" s="876"/>
      <c r="E640" s="876"/>
      <c r="F640" s="896"/>
      <c r="G640" s="878"/>
      <c r="H640" s="879"/>
    </row>
    <row r="641" spans="1:8" ht="17.399999999999999">
      <c r="A641" s="873"/>
      <c r="B641" s="877" t="s">
        <v>966</v>
      </c>
      <c r="C641" s="881">
        <v>2</v>
      </c>
      <c r="D641" s="876" t="s">
        <v>893</v>
      </c>
      <c r="E641" s="876" t="s">
        <v>421</v>
      </c>
      <c r="F641" s="883">
        <v>9500000</v>
      </c>
      <c r="G641" s="884">
        <f>F641*C641</f>
        <v>19000000</v>
      </c>
      <c r="H641" s="879"/>
    </row>
    <row r="642" spans="1:8" ht="17.399999999999999">
      <c r="A642" s="873"/>
      <c r="B642" s="877" t="s">
        <v>968</v>
      </c>
      <c r="C642" s="881"/>
      <c r="D642" s="876"/>
      <c r="E642" s="876"/>
      <c r="F642" s="883"/>
      <c r="G642" s="884"/>
      <c r="H642" s="879"/>
    </row>
    <row r="643" spans="1:8" ht="17.399999999999999">
      <c r="A643" s="873"/>
      <c r="B643" s="877" t="s">
        <v>967</v>
      </c>
      <c r="C643" s="881"/>
      <c r="D643" s="876"/>
      <c r="E643" s="876"/>
      <c r="F643" s="897"/>
      <c r="G643" s="884"/>
      <c r="H643" s="879"/>
    </row>
    <row r="644" spans="1:8" ht="17.399999999999999">
      <c r="A644" s="873"/>
      <c r="B644" s="880" t="s">
        <v>969</v>
      </c>
      <c r="C644" s="881">
        <v>2</v>
      </c>
      <c r="D644" s="876" t="s">
        <v>977</v>
      </c>
      <c r="E644" s="876" t="s">
        <v>410</v>
      </c>
      <c r="F644" s="897">
        <v>150000</v>
      </c>
      <c r="G644" s="884">
        <f t="shared" ref="G644:G657" si="10">F644*C644</f>
        <v>300000</v>
      </c>
      <c r="H644" s="879"/>
    </row>
    <row r="645" spans="1:8" ht="17.399999999999999">
      <c r="A645" s="873"/>
      <c r="B645" s="880" t="s">
        <v>970</v>
      </c>
      <c r="C645" s="881">
        <v>4.2</v>
      </c>
      <c r="D645" s="876" t="s">
        <v>978</v>
      </c>
      <c r="E645" s="876" t="s">
        <v>980</v>
      </c>
      <c r="F645" s="897">
        <v>89194.6</v>
      </c>
      <c r="G645" s="884">
        <f t="shared" si="10"/>
        <v>374617.32000000007</v>
      </c>
      <c r="H645" s="879"/>
    </row>
    <row r="646" spans="1:8" ht="17.399999999999999">
      <c r="A646" s="873"/>
      <c r="B646" s="880" t="s">
        <v>971</v>
      </c>
      <c r="C646" s="881">
        <v>4.2</v>
      </c>
      <c r="D646" s="876" t="s">
        <v>979</v>
      </c>
      <c r="E646" s="876" t="s">
        <v>981</v>
      </c>
      <c r="F646" s="897">
        <v>29343.360000000001</v>
      </c>
      <c r="G646" s="884">
        <f t="shared" si="10"/>
        <v>123242.11200000001</v>
      </c>
      <c r="H646" s="879"/>
    </row>
    <row r="647" spans="1:8" ht="17.399999999999999">
      <c r="A647" s="873"/>
      <c r="B647" s="880" t="s">
        <v>972</v>
      </c>
      <c r="C647" s="881">
        <v>3.6</v>
      </c>
      <c r="D647" s="876" t="s">
        <v>979</v>
      </c>
      <c r="E647" s="876" t="s">
        <v>106</v>
      </c>
      <c r="F647" s="897">
        <v>103981</v>
      </c>
      <c r="G647" s="884">
        <f t="shared" si="10"/>
        <v>374331.60000000003</v>
      </c>
      <c r="H647" s="879"/>
    </row>
    <row r="648" spans="1:8" ht="17.399999999999999">
      <c r="A648" s="873"/>
      <c r="B648" s="880" t="s">
        <v>973</v>
      </c>
      <c r="C648" s="881">
        <v>3.6</v>
      </c>
      <c r="D648" s="876" t="s">
        <v>979</v>
      </c>
      <c r="E648" s="876" t="s">
        <v>410</v>
      </c>
      <c r="F648" s="897">
        <v>150000</v>
      </c>
      <c r="G648" s="884">
        <f t="shared" si="10"/>
        <v>540000</v>
      </c>
      <c r="H648" s="879"/>
    </row>
    <row r="649" spans="1:8" ht="17.399999999999999">
      <c r="A649" s="873"/>
      <c r="B649" s="880" t="s">
        <v>974</v>
      </c>
      <c r="C649" s="881">
        <v>12</v>
      </c>
      <c r="D649" s="876" t="s">
        <v>978</v>
      </c>
      <c r="E649" s="876" t="s">
        <v>982</v>
      </c>
      <c r="F649" s="897">
        <v>125026.17</v>
      </c>
      <c r="G649" s="884">
        <f t="shared" si="10"/>
        <v>1500314.04</v>
      </c>
      <c r="H649" s="879"/>
    </row>
    <row r="650" spans="1:8" ht="17.399999999999999">
      <c r="A650" s="873"/>
      <c r="B650" s="880" t="s">
        <v>1169</v>
      </c>
      <c r="C650" s="881">
        <v>36</v>
      </c>
      <c r="D650" s="876" t="s">
        <v>919</v>
      </c>
      <c r="E650" s="876" t="s">
        <v>421</v>
      </c>
      <c r="F650" s="897">
        <v>3034.8</v>
      </c>
      <c r="G650" s="884">
        <f t="shared" si="10"/>
        <v>109252.8</v>
      </c>
      <c r="H650" s="879"/>
    </row>
    <row r="651" spans="1:8" ht="17.399999999999999">
      <c r="A651" s="873"/>
      <c r="B651" s="880" t="s">
        <v>1170</v>
      </c>
      <c r="C651" s="881">
        <v>50</v>
      </c>
      <c r="D651" s="876" t="s">
        <v>919</v>
      </c>
      <c r="E651" s="876" t="s">
        <v>410</v>
      </c>
      <c r="F651" s="897">
        <v>5000</v>
      </c>
      <c r="G651" s="884">
        <f t="shared" si="10"/>
        <v>250000</v>
      </c>
      <c r="H651" s="879"/>
    </row>
    <row r="652" spans="1:8" ht="17.399999999999999">
      <c r="A652" s="873"/>
      <c r="B652" s="880" t="s">
        <v>1171</v>
      </c>
      <c r="C652" s="881">
        <v>2</v>
      </c>
      <c r="D652" s="876" t="s">
        <v>334</v>
      </c>
      <c r="E652" s="876" t="s">
        <v>410</v>
      </c>
      <c r="F652" s="897">
        <v>100000</v>
      </c>
      <c r="G652" s="884">
        <f t="shared" si="10"/>
        <v>200000</v>
      </c>
      <c r="H652" s="879"/>
    </row>
    <row r="653" spans="1:8" ht="17.399999999999999">
      <c r="A653" s="873"/>
      <c r="B653" s="880" t="s">
        <v>1172</v>
      </c>
      <c r="C653" s="881">
        <v>36</v>
      </c>
      <c r="D653" s="876" t="s">
        <v>919</v>
      </c>
      <c r="E653" s="876" t="s">
        <v>421</v>
      </c>
      <c r="F653" s="897">
        <v>1296</v>
      </c>
      <c r="G653" s="884">
        <f t="shared" si="10"/>
        <v>46656</v>
      </c>
      <c r="H653" s="879"/>
    </row>
    <row r="654" spans="1:8" ht="17.399999999999999">
      <c r="A654" s="873"/>
      <c r="B654" s="880" t="s">
        <v>1173</v>
      </c>
      <c r="C654" s="881">
        <v>2</v>
      </c>
      <c r="D654" s="876" t="s">
        <v>897</v>
      </c>
      <c r="E654" s="876" t="s">
        <v>410</v>
      </c>
      <c r="F654" s="897">
        <v>150000</v>
      </c>
      <c r="G654" s="884">
        <f t="shared" si="10"/>
        <v>300000</v>
      </c>
      <c r="H654" s="879"/>
    </row>
    <row r="655" spans="1:8" ht="17.399999999999999">
      <c r="A655" s="873"/>
      <c r="B655" s="880" t="s">
        <v>1174</v>
      </c>
      <c r="C655" s="881">
        <v>2</v>
      </c>
      <c r="D655" s="876" t="s">
        <v>334</v>
      </c>
      <c r="E655" s="876" t="s">
        <v>410</v>
      </c>
      <c r="F655" s="897">
        <v>75000</v>
      </c>
      <c r="G655" s="884">
        <f t="shared" si="10"/>
        <v>150000</v>
      </c>
      <c r="H655" s="879"/>
    </row>
    <row r="656" spans="1:8" ht="17.399999999999999">
      <c r="A656" s="873"/>
      <c r="B656" s="880" t="s">
        <v>1175</v>
      </c>
      <c r="C656" s="881">
        <v>2</v>
      </c>
      <c r="D656" s="876" t="s">
        <v>977</v>
      </c>
      <c r="E656" s="876" t="s">
        <v>410</v>
      </c>
      <c r="F656" s="897">
        <v>50000</v>
      </c>
      <c r="G656" s="884">
        <f t="shared" si="10"/>
        <v>100000</v>
      </c>
      <c r="H656" s="879"/>
    </row>
    <row r="657" spans="1:8" ht="17.399999999999999">
      <c r="A657" s="873"/>
      <c r="B657" s="880" t="s">
        <v>1217</v>
      </c>
      <c r="C657" s="881">
        <v>2</v>
      </c>
      <c r="D657" s="876" t="s">
        <v>334</v>
      </c>
      <c r="E657" s="876" t="s">
        <v>410</v>
      </c>
      <c r="F657" s="897">
        <v>250000</v>
      </c>
      <c r="G657" s="884">
        <f t="shared" si="10"/>
        <v>500000</v>
      </c>
      <c r="H657" s="879"/>
    </row>
    <row r="658" spans="1:8" ht="17.399999999999999">
      <c r="A658" s="870"/>
      <c r="B658" s="889"/>
      <c r="C658" s="890"/>
      <c r="D658" s="892"/>
      <c r="E658" s="892"/>
      <c r="F658" s="898"/>
      <c r="G658" s="899"/>
      <c r="H658" s="879"/>
    </row>
    <row r="659" spans="1:8" ht="17.399999999999999">
      <c r="A659" s="900"/>
      <c r="B659" s="901"/>
      <c r="C659" s="902"/>
      <c r="D659" s="903"/>
      <c r="E659" s="903"/>
      <c r="F659" s="904" t="s">
        <v>25</v>
      </c>
      <c r="G659" s="884">
        <f>SUM(G641:G658)</f>
        <v>23868413.872000001</v>
      </c>
      <c r="H659" s="879"/>
    </row>
    <row r="660" spans="1:8" ht="17.399999999999999">
      <c r="A660" s="900"/>
      <c r="B660" s="901"/>
      <c r="C660" s="902"/>
      <c r="D660" s="903"/>
      <c r="E660" s="903"/>
      <c r="F660" s="905" t="s">
        <v>26</v>
      </c>
      <c r="G660" s="884">
        <f>G659/10</f>
        <v>2386841.3872000002</v>
      </c>
      <c r="H660" s="879"/>
    </row>
    <row r="661" spans="1:8" ht="17.399999999999999">
      <c r="A661" s="906"/>
      <c r="B661" s="907"/>
      <c r="C661" s="908"/>
      <c r="D661" s="909"/>
      <c r="E661" s="909"/>
      <c r="F661" s="910"/>
      <c r="G661" s="889"/>
      <c r="H661" s="895">
        <f>SUM(G659:G660)</f>
        <v>26255255.259200003</v>
      </c>
    </row>
    <row r="662" spans="1:8" ht="18" thickBot="1">
      <c r="A662" s="900"/>
      <c r="B662" s="911"/>
      <c r="C662" s="902"/>
      <c r="D662" s="903"/>
      <c r="E662" s="903"/>
      <c r="F662" s="912"/>
      <c r="G662" s="913"/>
      <c r="H662" s="887"/>
    </row>
    <row r="663" spans="1:8" ht="17.399999999999999">
      <c r="A663" s="914"/>
      <c r="B663" s="915"/>
      <c r="C663" s="916"/>
      <c r="D663" s="917"/>
      <c r="E663" s="917"/>
      <c r="F663" s="917"/>
      <c r="G663" s="918" t="s">
        <v>28</v>
      </c>
      <c r="H663" s="919">
        <f>SUM(H628:H661)</f>
        <v>41223231.259200007</v>
      </c>
    </row>
    <row r="664" spans="1:8" ht="18" thickBot="1">
      <c r="A664" s="920"/>
      <c r="B664" s="921"/>
      <c r="C664" s="922"/>
      <c r="D664" s="922"/>
      <c r="E664" s="923"/>
      <c r="F664" s="924"/>
      <c r="G664" s="925" t="s">
        <v>30</v>
      </c>
      <c r="H664" s="926">
        <f>ROUND(H663,-2)</f>
        <v>41223200</v>
      </c>
    </row>
    <row r="665" spans="1:8" ht="17.399999999999999">
      <c r="A665" s="927"/>
      <c r="B665" s="927"/>
      <c r="C665" s="927"/>
      <c r="D665" s="927"/>
      <c r="E665" s="927"/>
      <c r="F665" s="927"/>
      <c r="G665" s="927"/>
      <c r="H665" s="928"/>
    </row>
    <row r="666" spans="1:8" ht="17.399999999999999">
      <c r="A666" s="929" t="s">
        <v>549</v>
      </c>
      <c r="B666" s="927"/>
      <c r="C666" s="927"/>
      <c r="D666" s="927"/>
      <c r="E666" s="927"/>
      <c r="F666" s="927"/>
      <c r="G666" s="927"/>
      <c r="H666" s="928"/>
    </row>
    <row r="667" spans="1:8" ht="17.399999999999999">
      <c r="A667" s="929"/>
      <c r="B667" s="930" t="e">
        <f ca="1">PROPER([1]!terbilang(H664)&amp;" rupiah")</f>
        <v>#NAME?</v>
      </c>
      <c r="C667" s="927"/>
      <c r="D667" s="927"/>
      <c r="E667" s="927"/>
      <c r="F667" s="927"/>
      <c r="G667" s="927"/>
      <c r="H667" s="928"/>
    </row>
    <row r="668" spans="1:8" ht="17.399999999999999">
      <c r="A668" s="931"/>
      <c r="B668" s="931"/>
      <c r="C668" s="931"/>
      <c r="D668" s="931"/>
      <c r="E668" s="931"/>
      <c r="F668" s="931"/>
      <c r="G668" s="1577" t="s">
        <v>1216</v>
      </c>
      <c r="H668" s="1577"/>
    </row>
    <row r="669" spans="1:8" ht="17.399999999999999">
      <c r="A669" s="1577" t="s">
        <v>31</v>
      </c>
      <c r="B669" s="1577"/>
      <c r="C669" s="1577" t="s">
        <v>914</v>
      </c>
      <c r="D669" s="1577"/>
      <c r="E669" s="1577"/>
      <c r="F669" s="931"/>
      <c r="G669" s="1577" t="s">
        <v>33</v>
      </c>
      <c r="H669" s="1577"/>
    </row>
    <row r="670" spans="1:8" ht="17.399999999999999">
      <c r="A670" s="931"/>
      <c r="B670" s="931"/>
      <c r="C670" s="931"/>
      <c r="D670" s="931"/>
      <c r="E670" s="931"/>
      <c r="F670" s="931"/>
      <c r="G670" s="931"/>
      <c r="H670" s="931"/>
    </row>
    <row r="671" spans="1:8" ht="17.399999999999999">
      <c r="A671" s="931"/>
      <c r="B671" s="931"/>
      <c r="C671" s="931"/>
      <c r="D671" s="931"/>
      <c r="E671" s="931"/>
      <c r="F671" s="931"/>
      <c r="G671" s="931"/>
      <c r="H671" s="931"/>
    </row>
    <row r="672" spans="1:8" ht="17.399999999999999">
      <c r="A672" s="931"/>
      <c r="B672" s="931"/>
      <c r="C672" s="931"/>
      <c r="D672" s="931"/>
      <c r="E672" s="931"/>
      <c r="F672" s="931"/>
      <c r="G672" s="931"/>
      <c r="H672" s="931"/>
    </row>
    <row r="673" spans="1:8" ht="17.399999999999999">
      <c r="A673" s="1578" t="s">
        <v>34</v>
      </c>
      <c r="B673" s="1578"/>
      <c r="C673" s="1578" t="s">
        <v>1147</v>
      </c>
      <c r="D673" s="1578"/>
      <c r="E673" s="1578"/>
      <c r="F673" s="931"/>
      <c r="G673" s="1578" t="s">
        <v>36</v>
      </c>
      <c r="H673" s="1578"/>
    </row>
    <row r="674" spans="1:8" ht="17.399999999999999">
      <c r="A674" s="1577" t="s">
        <v>37</v>
      </c>
      <c r="B674" s="1577"/>
      <c r="C674" s="1577" t="s">
        <v>38</v>
      </c>
      <c r="D674" s="1577"/>
      <c r="E674" s="1577"/>
      <c r="F674" s="931"/>
      <c r="G674" s="1577" t="s">
        <v>39</v>
      </c>
      <c r="H674" s="1577"/>
    </row>
    <row r="675" spans="1:8">
      <c r="A675" s="5"/>
      <c r="B675" s="5"/>
      <c r="C675" s="5"/>
      <c r="D675" s="5"/>
      <c r="E675" s="5"/>
      <c r="F675" s="6"/>
      <c r="G675" s="5"/>
      <c r="H675" s="5"/>
    </row>
    <row r="676" spans="1:8" ht="28.8">
      <c r="A676" s="597"/>
      <c r="B676" s="1513" t="s">
        <v>1153</v>
      </c>
      <c r="C676" s="1513"/>
      <c r="D676" s="1513"/>
      <c r="E676" s="1513"/>
      <c r="F676" s="1513"/>
      <c r="G676" s="1513"/>
      <c r="H676" s="1513"/>
    </row>
    <row r="677" spans="1:8" ht="28.8">
      <c r="A677" s="597"/>
      <c r="B677" s="1513" t="s">
        <v>1152</v>
      </c>
      <c r="C677" s="1513"/>
      <c r="D677" s="1513"/>
      <c r="E677" s="1513"/>
      <c r="F677" s="1513"/>
      <c r="G677" s="1513"/>
      <c r="H677" s="1513"/>
    </row>
    <row r="678" spans="1:8" ht="21">
      <c r="A678" s="830"/>
      <c r="B678" s="830"/>
      <c r="C678" s="1535" t="s">
        <v>259</v>
      </c>
      <c r="D678" s="1535"/>
      <c r="E678" s="1535"/>
      <c r="F678" s="1535"/>
      <c r="G678" s="1535"/>
      <c r="H678" s="1535"/>
    </row>
    <row r="679" spans="1:8" ht="15.6">
      <c r="A679" s="769"/>
      <c r="B679" s="769"/>
      <c r="C679" s="769"/>
      <c r="D679" s="769"/>
      <c r="E679" s="769"/>
      <c r="F679" s="769"/>
      <c r="G679" s="769"/>
      <c r="H679" s="769"/>
    </row>
    <row r="680" spans="1:8" ht="15.6">
      <c r="A680" s="769"/>
      <c r="B680" s="769"/>
      <c r="C680" s="769"/>
      <c r="D680" s="769"/>
      <c r="E680" s="769"/>
      <c r="F680" s="769"/>
      <c r="G680" s="769"/>
      <c r="H680" s="769"/>
    </row>
    <row r="681" spans="1:8" ht="15.6">
      <c r="A681" s="1516" t="s">
        <v>3</v>
      </c>
      <c r="B681" s="1516" t="s">
        <v>4</v>
      </c>
      <c r="C681" s="1516" t="s">
        <v>5</v>
      </c>
      <c r="D681" s="1516" t="s">
        <v>6</v>
      </c>
      <c r="E681" s="1516" t="s">
        <v>7</v>
      </c>
      <c r="F681" s="770" t="s">
        <v>8</v>
      </c>
      <c r="G681" s="770" t="s">
        <v>9</v>
      </c>
      <c r="H681" s="770" t="s">
        <v>10</v>
      </c>
    </row>
    <row r="682" spans="1:8" ht="15.6">
      <c r="A682" s="1517"/>
      <c r="B682" s="1517"/>
      <c r="C682" s="1517"/>
      <c r="D682" s="1517"/>
      <c r="E682" s="1517"/>
      <c r="F682" s="771" t="s">
        <v>11</v>
      </c>
      <c r="G682" s="771" t="s">
        <v>11</v>
      </c>
      <c r="H682" s="771" t="s">
        <v>11</v>
      </c>
    </row>
    <row r="683" spans="1:8" ht="15.6">
      <c r="A683" s="770" t="s">
        <v>12</v>
      </c>
      <c r="B683" s="772" t="s">
        <v>364</v>
      </c>
      <c r="C683" s="773"/>
      <c r="D683" s="774"/>
      <c r="E683" s="774"/>
      <c r="F683" s="774"/>
      <c r="G683" s="775"/>
      <c r="H683" s="776"/>
    </row>
    <row r="684" spans="1:8" ht="18">
      <c r="A684" s="777"/>
      <c r="B684" s="778" t="s">
        <v>365</v>
      </c>
      <c r="C684" s="779">
        <v>1</v>
      </c>
      <c r="D684" s="780" t="s">
        <v>15</v>
      </c>
      <c r="E684" s="780" t="s">
        <v>126</v>
      </c>
      <c r="F684" s="781">
        <v>0</v>
      </c>
      <c r="G684" s="781">
        <f>F684*C684</f>
        <v>0</v>
      </c>
      <c r="H684" s="831" t="s">
        <v>1154</v>
      </c>
    </row>
    <row r="685" spans="1:8" ht="18">
      <c r="A685" s="777"/>
      <c r="B685" s="778" t="s">
        <v>367</v>
      </c>
      <c r="C685" s="779">
        <v>1</v>
      </c>
      <c r="D685" s="780" t="s">
        <v>47</v>
      </c>
      <c r="E685" s="780" t="s">
        <v>126</v>
      </c>
      <c r="F685" s="781">
        <v>0</v>
      </c>
      <c r="G685" s="781">
        <f>F685*C685</f>
        <v>0</v>
      </c>
      <c r="H685" s="809"/>
    </row>
    <row r="686" spans="1:8" ht="15.6">
      <c r="A686" s="814"/>
      <c r="B686" s="806"/>
      <c r="C686" s="815"/>
      <c r="D686" s="816"/>
      <c r="E686" s="816"/>
      <c r="F686" s="817"/>
      <c r="G686" s="817"/>
      <c r="H686" s="818"/>
    </row>
    <row r="687" spans="1:8" ht="15.6">
      <c r="A687" s="786" t="s">
        <v>18</v>
      </c>
      <c r="B687" s="787" t="s">
        <v>369</v>
      </c>
      <c r="C687" s="782"/>
      <c r="D687" s="780"/>
      <c r="E687" s="780"/>
      <c r="F687" s="778"/>
      <c r="G687" s="788"/>
      <c r="H687" s="789"/>
    </row>
    <row r="688" spans="1:8" ht="15.6">
      <c r="A688" s="790"/>
      <c r="B688" s="778" t="s">
        <v>370</v>
      </c>
      <c r="C688" s="779">
        <v>1</v>
      </c>
      <c r="D688" s="791" t="s">
        <v>15</v>
      </c>
      <c r="E688" s="780" t="s">
        <v>16</v>
      </c>
      <c r="F688" s="789">
        <v>1445499</v>
      </c>
      <c r="G688" s="788">
        <f>F688*C688</f>
        <v>1445499</v>
      </c>
      <c r="H688" s="789"/>
    </row>
    <row r="689" spans="1:8" ht="15.6">
      <c r="A689" s="790"/>
      <c r="B689" s="777" t="s">
        <v>371</v>
      </c>
      <c r="C689" s="779">
        <v>1</v>
      </c>
      <c r="D689" s="780" t="s">
        <v>15</v>
      </c>
      <c r="E689" s="780" t="s">
        <v>16</v>
      </c>
      <c r="F689" s="788">
        <v>443813</v>
      </c>
      <c r="G689" s="788">
        <f>F689*C689</f>
        <v>443813</v>
      </c>
      <c r="H689" s="789"/>
    </row>
    <row r="690" spans="1:8" ht="15.6">
      <c r="A690" s="790"/>
      <c r="B690" s="777" t="s">
        <v>372</v>
      </c>
      <c r="C690" s="779">
        <v>1</v>
      </c>
      <c r="D690" s="780" t="s">
        <v>373</v>
      </c>
      <c r="E690" s="780" t="s">
        <v>51</v>
      </c>
      <c r="F690" s="789">
        <v>250000</v>
      </c>
      <c r="G690" s="788">
        <f>F690*C690</f>
        <v>250000</v>
      </c>
      <c r="H690" s="789"/>
    </row>
    <row r="691" spans="1:8" ht="15.6">
      <c r="A691" s="790"/>
      <c r="B691" s="777"/>
      <c r="C691" s="792"/>
      <c r="D691" s="780"/>
      <c r="E691" s="780"/>
      <c r="F691" s="789"/>
      <c r="G691" s="788"/>
      <c r="H691" s="789"/>
    </row>
    <row r="692" spans="1:8" ht="15.6">
      <c r="A692" s="790"/>
      <c r="B692" s="777"/>
      <c r="C692" s="792"/>
      <c r="D692" s="780"/>
      <c r="E692" s="780"/>
      <c r="F692" s="788"/>
      <c r="G692" s="788"/>
      <c r="H692" s="810"/>
    </row>
    <row r="693" spans="1:8" ht="15.6">
      <c r="A693" s="790"/>
      <c r="B693" s="777"/>
      <c r="C693" s="788"/>
      <c r="D693" s="780"/>
      <c r="E693" s="780"/>
      <c r="F693" s="788"/>
      <c r="G693" s="788"/>
      <c r="H693" s="789"/>
    </row>
    <row r="694" spans="1:8" ht="15.6">
      <c r="A694" s="793"/>
      <c r="B694" s="783"/>
      <c r="C694" s="794"/>
      <c r="D694" s="795"/>
      <c r="E694" s="811"/>
      <c r="F694" s="811" t="s">
        <v>25</v>
      </c>
      <c r="G694" s="813">
        <f>SUM(G688:G693)</f>
        <v>2139312</v>
      </c>
      <c r="H694" s="810"/>
    </row>
    <row r="695" spans="1:8" ht="15.6">
      <c r="A695" s="820"/>
      <c r="B695" s="821"/>
      <c r="C695" s="822"/>
      <c r="D695" s="822"/>
      <c r="E695" s="823"/>
      <c r="F695" s="819" t="s">
        <v>1151</v>
      </c>
      <c r="G695" s="824"/>
      <c r="H695" s="825"/>
    </row>
    <row r="696" spans="1:8" ht="15.6">
      <c r="A696" s="796"/>
      <c r="B696" s="797"/>
      <c r="C696" s="784"/>
      <c r="D696" s="784"/>
      <c r="E696" s="785"/>
      <c r="F696" s="812"/>
      <c r="G696" s="798"/>
      <c r="H696" s="826">
        <f>G694+G695</f>
        <v>2139312</v>
      </c>
    </row>
    <row r="697" spans="1:8" ht="15.6">
      <c r="A697" s="820"/>
      <c r="B697" s="821"/>
      <c r="C697" s="822"/>
      <c r="D697" s="822"/>
      <c r="E697" s="823"/>
      <c r="F697" s="819"/>
      <c r="G697" s="824"/>
      <c r="H697" s="827"/>
    </row>
    <row r="698" spans="1:8" ht="15.6">
      <c r="A698" s="799"/>
      <c r="B698" s="800"/>
      <c r="C698" s="800"/>
      <c r="D698" s="800"/>
      <c r="E698" s="800"/>
      <c r="F698" s="801"/>
      <c r="G698" s="828" t="s">
        <v>28</v>
      </c>
      <c r="H698" s="775">
        <f>H696+H686</f>
        <v>2139312</v>
      </c>
    </row>
    <row r="699" spans="1:8" ht="15.6">
      <c r="A699" s="802"/>
      <c r="B699" s="803"/>
      <c r="C699" s="804"/>
      <c r="D699" s="804"/>
      <c r="E699" s="804"/>
      <c r="F699" s="805"/>
      <c r="G699" s="829" t="s">
        <v>30</v>
      </c>
      <c r="H699" s="807">
        <f>ROUND(H698,-3)</f>
        <v>2139000</v>
      </c>
    </row>
    <row r="700" spans="1:8" ht="15.6">
      <c r="A700" s="49"/>
      <c r="B700" s="49"/>
      <c r="C700" s="49"/>
      <c r="D700" s="49"/>
      <c r="E700" s="49"/>
      <c r="F700" s="49"/>
      <c r="G700" s="49"/>
      <c r="H700" s="50"/>
    </row>
    <row r="701" spans="1:8" ht="18">
      <c r="A701" s="768" t="s">
        <v>1150</v>
      </c>
      <c r="B701" s="49"/>
      <c r="C701" s="49"/>
      <c r="D701" s="49"/>
      <c r="E701" s="49"/>
      <c r="F701" s="49"/>
      <c r="G701" s="49"/>
      <c r="H701" s="50"/>
    </row>
    <row r="702" spans="1:8" ht="18">
      <c r="A702" s="49"/>
      <c r="B702" s="762" t="e">
        <f ca="1">PROPER([1]!terbilang(H699)&amp;" rupiah")</f>
        <v>#NAME?</v>
      </c>
      <c r="C702" s="49"/>
      <c r="D702" s="49"/>
      <c r="E702" s="49"/>
      <c r="F702" s="49"/>
      <c r="G702" s="49"/>
      <c r="H702" s="50"/>
    </row>
    <row r="703" spans="1:8" ht="15.6">
      <c r="A703" s="49"/>
      <c r="B703" s="49"/>
      <c r="C703" s="49"/>
      <c r="D703" s="49"/>
      <c r="E703" s="49"/>
      <c r="F703" s="49"/>
      <c r="G703" s="49"/>
      <c r="H703" s="50"/>
    </row>
    <row r="704" spans="1:8" ht="15.6">
      <c r="A704" s="51"/>
      <c r="B704" s="51"/>
      <c r="C704" s="51"/>
      <c r="D704" s="51"/>
      <c r="E704" s="51"/>
      <c r="F704" s="51"/>
      <c r="G704" s="1509" t="s">
        <v>1149</v>
      </c>
      <c r="H704" s="1509"/>
    </row>
    <row r="705" spans="1:8" ht="15.6">
      <c r="A705" s="1509" t="s">
        <v>31</v>
      </c>
      <c r="B705" s="1509"/>
      <c r="C705" s="1509" t="s">
        <v>32</v>
      </c>
      <c r="D705" s="1509"/>
      <c r="E705" s="1509"/>
      <c r="F705" s="51"/>
      <c r="G705" s="1509" t="s">
        <v>33</v>
      </c>
      <c r="H705" s="1509"/>
    </row>
    <row r="706" spans="1:8" ht="15.6">
      <c r="A706" s="51"/>
      <c r="B706" s="51"/>
      <c r="C706" s="51"/>
      <c r="D706" s="51"/>
      <c r="E706" s="51"/>
      <c r="F706" s="51"/>
      <c r="G706" s="51"/>
      <c r="H706" s="51"/>
    </row>
    <row r="707" spans="1:8" ht="15.6">
      <c r="A707" s="51"/>
      <c r="B707" s="51"/>
      <c r="C707" s="51"/>
      <c r="D707" s="51"/>
      <c r="E707" s="51"/>
      <c r="F707" s="51"/>
      <c r="G707" s="51"/>
      <c r="H707" s="51"/>
    </row>
    <row r="708" spans="1:8" ht="15.6">
      <c r="A708" s="51"/>
      <c r="B708" s="51"/>
      <c r="C708" s="51"/>
      <c r="D708" s="51"/>
      <c r="E708" s="51"/>
      <c r="F708" s="51"/>
      <c r="G708" s="51"/>
      <c r="H708" s="51"/>
    </row>
    <row r="709" spans="1:8" ht="15.6">
      <c r="A709" s="1512" t="s">
        <v>34</v>
      </c>
      <c r="B709" s="1512"/>
      <c r="C709" s="1512" t="s">
        <v>36</v>
      </c>
      <c r="D709" s="1512"/>
      <c r="E709" s="1512"/>
      <c r="F709" s="51"/>
      <c r="G709" s="1512" t="s">
        <v>36</v>
      </c>
      <c r="H709" s="1512"/>
    </row>
    <row r="710" spans="1:8" ht="15.6">
      <c r="A710" s="1509" t="s">
        <v>37</v>
      </c>
      <c r="B710" s="1509"/>
      <c r="C710" s="1509" t="s">
        <v>492</v>
      </c>
      <c r="D710" s="1509"/>
      <c r="E710" s="1509"/>
      <c r="F710" s="51"/>
      <c r="G710" s="1509" t="s">
        <v>39</v>
      </c>
      <c r="H710" s="1509"/>
    </row>
    <row r="711" spans="1:8" ht="15.6">
      <c r="A711" s="808"/>
      <c r="B711" s="808"/>
      <c r="C711" s="808"/>
      <c r="D711" s="808"/>
      <c r="E711" s="808"/>
      <c r="F711" s="808"/>
      <c r="G711" s="808"/>
      <c r="H711" s="808"/>
    </row>
    <row r="716" spans="1:8" ht="28.8">
      <c r="A716" s="597"/>
      <c r="B716" s="1622" t="s">
        <v>1137</v>
      </c>
      <c r="C716" s="1622"/>
      <c r="D716" s="1622"/>
      <c r="E716" s="1622"/>
      <c r="F716" s="1622"/>
      <c r="G716" s="1622"/>
      <c r="H716" s="1622"/>
    </row>
    <row r="717" spans="1:8" ht="25.8">
      <c r="A717" s="598"/>
      <c r="B717" s="1624" t="s">
        <v>1136</v>
      </c>
      <c r="C717" s="1624"/>
      <c r="D717" s="1624"/>
      <c r="E717" s="1624"/>
      <c r="F717" s="1624"/>
      <c r="G717" s="1624"/>
      <c r="H717" s="1624"/>
    </row>
    <row r="718" spans="1:8" ht="21">
      <c r="A718" s="599"/>
      <c r="B718" s="599"/>
      <c r="C718" s="1515" t="s">
        <v>1138</v>
      </c>
      <c r="D718" s="1623"/>
      <c r="E718" s="1623"/>
      <c r="F718" s="1623"/>
      <c r="G718" s="1623"/>
      <c r="H718" s="1623"/>
    </row>
    <row r="719" spans="1:8">
      <c r="A719" s="7"/>
      <c r="B719" s="7"/>
      <c r="C719" s="7"/>
      <c r="D719" s="7"/>
      <c r="E719" s="7"/>
      <c r="F719" s="7"/>
      <c r="G719" s="7"/>
      <c r="H719" s="7"/>
    </row>
    <row r="720" spans="1:8" ht="12.6" thickBot="1">
      <c r="A720" s="7"/>
      <c r="B720" s="7"/>
      <c r="C720" s="7"/>
      <c r="D720" s="7"/>
      <c r="E720" s="7"/>
      <c r="F720" s="7"/>
      <c r="G720" s="7"/>
      <c r="H720" s="7"/>
    </row>
    <row r="721" spans="1:8" ht="15.6">
      <c r="A721" s="1538" t="s">
        <v>3</v>
      </c>
      <c r="B721" s="1540" t="s">
        <v>4</v>
      </c>
      <c r="C721" s="1540" t="s">
        <v>5</v>
      </c>
      <c r="D721" s="1540" t="s">
        <v>6</v>
      </c>
      <c r="E721" s="1540" t="s">
        <v>7</v>
      </c>
      <c r="F721" s="8" t="s">
        <v>8</v>
      </c>
      <c r="G721" s="8" t="s">
        <v>9</v>
      </c>
      <c r="H721" s="9" t="s">
        <v>10</v>
      </c>
    </row>
    <row r="722" spans="1:8" ht="15.6">
      <c r="A722" s="1539"/>
      <c r="B722" s="1517"/>
      <c r="C722" s="1517"/>
      <c r="D722" s="1517"/>
      <c r="E722" s="1517"/>
      <c r="F722" s="10" t="s">
        <v>11</v>
      </c>
      <c r="G722" s="10" t="s">
        <v>11</v>
      </c>
      <c r="H722" s="11" t="s">
        <v>11</v>
      </c>
    </row>
    <row r="723" spans="1:8" ht="15.6">
      <c r="A723" s="634" t="s">
        <v>12</v>
      </c>
      <c r="B723" s="594" t="s">
        <v>13</v>
      </c>
      <c r="C723" s="695"/>
      <c r="D723" s="592"/>
      <c r="E723" s="592"/>
      <c r="F723" s="595"/>
      <c r="G723" s="696"/>
      <c r="H723" s="697"/>
    </row>
    <row r="724" spans="1:8" ht="15.6">
      <c r="A724" s="634"/>
      <c r="B724" s="763" t="s">
        <v>1139</v>
      </c>
      <c r="C724" s="744">
        <v>1</v>
      </c>
      <c r="D724" s="764" t="s">
        <v>893</v>
      </c>
      <c r="E724" s="15" t="s">
        <v>1141</v>
      </c>
      <c r="F724" s="765" t="s">
        <v>126</v>
      </c>
      <c r="G724" s="766" t="s">
        <v>126</v>
      </c>
      <c r="H724" s="702"/>
    </row>
    <row r="725" spans="1:8" ht="15.6">
      <c r="A725" s="634"/>
      <c r="B725" s="763" t="s">
        <v>1140</v>
      </c>
      <c r="C725" s="744">
        <v>1</v>
      </c>
      <c r="D725" s="764" t="s">
        <v>919</v>
      </c>
      <c r="E725" s="15" t="s">
        <v>1141</v>
      </c>
      <c r="F725" s="765" t="s">
        <v>126</v>
      </c>
      <c r="G725" s="766" t="s">
        <v>126</v>
      </c>
      <c r="H725" s="702"/>
    </row>
    <row r="726" spans="1:8" ht="15.6">
      <c r="A726" s="634"/>
      <c r="B726" s="703"/>
      <c r="C726" s="744"/>
      <c r="D726" s="699"/>
      <c r="E726" s="592"/>
      <c r="F726" s="700"/>
      <c r="G726" s="701"/>
      <c r="H726" s="702"/>
    </row>
    <row r="727" spans="1:8" ht="15.6">
      <c r="A727" s="706"/>
      <c r="B727" s="707"/>
      <c r="C727" s="746"/>
      <c r="D727" s="709"/>
      <c r="E727" s="710"/>
      <c r="F727" s="715"/>
      <c r="G727" s="716"/>
      <c r="H727" s="624"/>
    </row>
    <row r="728" spans="1:8" ht="15.6">
      <c r="A728" s="634" t="s">
        <v>18</v>
      </c>
      <c r="B728" s="594" t="s">
        <v>19</v>
      </c>
      <c r="C728" s="745"/>
      <c r="D728" s="592"/>
      <c r="E728" s="592"/>
      <c r="F728" s="713"/>
      <c r="G728" s="701"/>
      <c r="H728" s="697"/>
    </row>
    <row r="729" spans="1:8" ht="15.6">
      <c r="A729" s="634"/>
      <c r="B729" s="767" t="s">
        <v>1142</v>
      </c>
      <c r="C729" s="744">
        <v>1</v>
      </c>
      <c r="D729" s="764" t="s">
        <v>893</v>
      </c>
      <c r="E729" s="764" t="s">
        <v>421</v>
      </c>
      <c r="F729" s="747">
        <v>437570</v>
      </c>
      <c r="G729" s="747">
        <f>C729*F729</f>
        <v>437570</v>
      </c>
      <c r="H729" s="697"/>
    </row>
    <row r="730" spans="1:8" ht="15.6">
      <c r="A730" s="634"/>
      <c r="B730" s="767" t="s">
        <v>1143</v>
      </c>
      <c r="C730" s="744">
        <v>1</v>
      </c>
      <c r="D730" s="764" t="s">
        <v>893</v>
      </c>
      <c r="E730" s="764" t="s">
        <v>421</v>
      </c>
      <c r="F730" s="747">
        <v>437570</v>
      </c>
      <c r="G730" s="747">
        <f>C730*F730</f>
        <v>437570</v>
      </c>
      <c r="H730" s="697"/>
    </row>
    <row r="731" spans="1:8" ht="15.6">
      <c r="A731" s="634"/>
      <c r="B731" s="767" t="s">
        <v>1144</v>
      </c>
      <c r="C731" s="744">
        <v>1</v>
      </c>
      <c r="D731" s="764" t="s">
        <v>893</v>
      </c>
      <c r="E731" s="592" t="s">
        <v>421</v>
      </c>
      <c r="F731" s="747">
        <v>216285</v>
      </c>
      <c r="G731" s="747">
        <f>C731*F731</f>
        <v>216285</v>
      </c>
      <c r="H731" s="697"/>
    </row>
    <row r="732" spans="1:8" ht="15.6">
      <c r="A732" s="634"/>
      <c r="B732" s="767" t="s">
        <v>1145</v>
      </c>
      <c r="C732" s="753">
        <v>1</v>
      </c>
      <c r="D732" s="764" t="s">
        <v>893</v>
      </c>
      <c r="E732" s="592" t="s">
        <v>421</v>
      </c>
      <c r="F732" s="747">
        <v>216285</v>
      </c>
      <c r="G732" s="747">
        <f>C732*F732</f>
        <v>216285</v>
      </c>
      <c r="H732" s="697"/>
    </row>
    <row r="733" spans="1:8" ht="15.6">
      <c r="A733" s="634"/>
      <c r="B733" s="767" t="s">
        <v>1146</v>
      </c>
      <c r="C733" s="744">
        <v>1</v>
      </c>
      <c r="D733" s="764" t="s">
        <v>897</v>
      </c>
      <c r="E733" s="764" t="s">
        <v>410</v>
      </c>
      <c r="F733" s="747">
        <v>350000</v>
      </c>
      <c r="G733" s="747">
        <f>C733*F733</f>
        <v>350000</v>
      </c>
      <c r="H733" s="697"/>
    </row>
    <row r="734" spans="1:8" ht="15.6">
      <c r="A734" s="634"/>
      <c r="B734" s="712"/>
      <c r="C734" s="744"/>
      <c r="D734" s="699"/>
      <c r="E734" s="699"/>
      <c r="F734" s="747"/>
      <c r="G734" s="747"/>
      <c r="H734" s="697"/>
    </row>
    <row r="735" spans="1:8" ht="15.6">
      <c r="A735" s="634"/>
      <c r="B735" s="595"/>
      <c r="C735" s="705"/>
      <c r="D735" s="592"/>
      <c r="E735" s="592"/>
      <c r="F735" s="713"/>
      <c r="G735" s="701"/>
      <c r="H735" s="697"/>
    </row>
    <row r="736" spans="1:8" ht="15.6">
      <c r="A736" s="714"/>
      <c r="B736" s="707"/>
      <c r="C736" s="708"/>
      <c r="D736" s="710"/>
      <c r="E736" s="710"/>
      <c r="F736" s="715"/>
      <c r="G736" s="716"/>
      <c r="H736" s="697"/>
    </row>
    <row r="737" spans="1:8" ht="15.6">
      <c r="A737" s="717"/>
      <c r="B737" s="718"/>
      <c r="C737" s="719"/>
      <c r="D737" s="720"/>
      <c r="E737" s="720"/>
      <c r="F737" s="721" t="s">
        <v>25</v>
      </c>
      <c r="G737" s="701">
        <f>SUM(G729:G735)</f>
        <v>1657710</v>
      </c>
      <c r="H737" s="697"/>
    </row>
    <row r="738" spans="1:8" ht="15.6">
      <c r="A738" s="717"/>
      <c r="B738" s="718"/>
      <c r="C738" s="719"/>
      <c r="D738" s="720"/>
      <c r="E738" s="720"/>
      <c r="F738" s="722" t="s">
        <v>26</v>
      </c>
      <c r="G738" s="701"/>
      <c r="H738" s="697"/>
    </row>
    <row r="739" spans="1:8" ht="15.6">
      <c r="A739" s="723"/>
      <c r="B739" s="724"/>
      <c r="C739" s="725"/>
      <c r="D739" s="726"/>
      <c r="E739" s="726"/>
      <c r="F739" s="727"/>
      <c r="G739" s="707"/>
      <c r="H739" s="624">
        <f>SUM(G737:G738)</f>
        <v>1657710</v>
      </c>
    </row>
    <row r="740" spans="1:8" ht="16.2" thickBot="1">
      <c r="A740" s="717"/>
      <c r="B740" s="728"/>
      <c r="C740" s="719"/>
      <c r="D740" s="720"/>
      <c r="E740" s="720"/>
      <c r="F740" s="729"/>
      <c r="G740" s="730"/>
      <c r="H740" s="605"/>
    </row>
    <row r="741" spans="1:8" ht="15.6">
      <c r="A741" s="731"/>
      <c r="B741" s="732"/>
      <c r="C741" s="733"/>
      <c r="D741" s="734"/>
      <c r="E741" s="734"/>
      <c r="F741" s="734"/>
      <c r="G741" s="735" t="s">
        <v>28</v>
      </c>
      <c r="H741" s="736">
        <f>SUM(H724:H739)</f>
        <v>1657710</v>
      </c>
    </row>
    <row r="742" spans="1:8" ht="16.2" thickBot="1">
      <c r="A742" s="737"/>
      <c r="B742" s="738"/>
      <c r="C742" s="739"/>
      <c r="D742" s="739"/>
      <c r="E742" s="740"/>
      <c r="F742" s="741"/>
      <c r="G742" s="742" t="s">
        <v>30</v>
      </c>
      <c r="H742" s="743">
        <f>ROUND(H741,-3)</f>
        <v>1658000</v>
      </c>
    </row>
    <row r="743" spans="1:8" ht="15.6">
      <c r="A743" s="49"/>
      <c r="B743" s="49"/>
      <c r="C743" s="49"/>
      <c r="D743" s="49"/>
      <c r="E743" s="49"/>
      <c r="F743" s="49"/>
      <c r="G743" s="49"/>
      <c r="H743" s="50"/>
    </row>
    <row r="744" spans="1:8" ht="18">
      <c r="A744" s="633" t="s">
        <v>549</v>
      </c>
      <c r="B744" s="49"/>
      <c r="C744" s="49"/>
      <c r="D744" s="49"/>
      <c r="E744" s="49"/>
      <c r="F744" s="49"/>
      <c r="G744" s="49"/>
      <c r="H744" s="50"/>
    </row>
    <row r="745" spans="1:8" ht="18">
      <c r="A745" s="51"/>
      <c r="B745" s="762" t="e">
        <f ca="1">PROPER([1]!terbilang(H742)&amp;" rupiah")</f>
        <v>#NAME?</v>
      </c>
      <c r="C745" s="51"/>
      <c r="D745" s="51"/>
      <c r="E745" s="51"/>
      <c r="F745" s="51"/>
      <c r="G745" s="604"/>
      <c r="H745" s="602"/>
    </row>
    <row r="746" spans="1:8" ht="15.6">
      <c r="A746" s="51"/>
      <c r="B746" s="51"/>
      <c r="C746" s="51"/>
      <c r="D746" s="51"/>
      <c r="E746" s="51"/>
      <c r="F746" s="51"/>
      <c r="G746" s="1509" t="s">
        <v>1135</v>
      </c>
      <c r="H746" s="1509"/>
    </row>
    <row r="747" spans="1:8" ht="15.6">
      <c r="A747" s="1509" t="s">
        <v>31</v>
      </c>
      <c r="B747" s="1509"/>
      <c r="C747" s="1583" t="s">
        <v>914</v>
      </c>
      <c r="D747" s="1509"/>
      <c r="E747" s="1509"/>
      <c r="F747" s="51"/>
      <c r="G747" s="1509" t="s">
        <v>33</v>
      </c>
      <c r="H747" s="1509"/>
    </row>
    <row r="748" spans="1:8" ht="15.6">
      <c r="A748" s="51"/>
      <c r="B748" s="51"/>
      <c r="C748" s="51"/>
      <c r="D748" s="51"/>
      <c r="E748" s="51"/>
      <c r="F748" s="51"/>
      <c r="G748" s="51"/>
      <c r="H748" s="51"/>
    </row>
    <row r="749" spans="1:8" ht="15.6">
      <c r="A749" s="51"/>
      <c r="B749" s="51"/>
      <c r="C749" s="51"/>
      <c r="D749" s="51"/>
      <c r="E749" s="51"/>
      <c r="F749" s="51"/>
      <c r="G749" s="51"/>
      <c r="H749" s="51"/>
    </row>
    <row r="750" spans="1:8" ht="15.6">
      <c r="A750" s="51"/>
      <c r="B750" s="51"/>
      <c r="C750" s="51"/>
      <c r="D750" s="51"/>
      <c r="E750" s="51"/>
      <c r="F750" s="51"/>
      <c r="G750" s="51"/>
      <c r="H750" s="51"/>
    </row>
    <row r="751" spans="1:8" ht="15.6">
      <c r="A751" s="1512" t="s">
        <v>34</v>
      </c>
      <c r="B751" s="1512"/>
      <c r="C751" s="1512" t="s">
        <v>1134</v>
      </c>
      <c r="D751" s="1512"/>
      <c r="E751" s="1512"/>
      <c r="F751" s="51"/>
      <c r="G751" s="1512" t="s">
        <v>36</v>
      </c>
      <c r="H751" s="1512"/>
    </row>
    <row r="752" spans="1:8" ht="15.6">
      <c r="A752" s="1509" t="s">
        <v>37</v>
      </c>
      <c r="B752" s="1509"/>
      <c r="C752" s="1509" t="s">
        <v>492</v>
      </c>
      <c r="D752" s="1509"/>
      <c r="E752" s="1509"/>
      <c r="F752" s="51"/>
      <c r="G752" s="1509" t="s">
        <v>39</v>
      </c>
      <c r="H752" s="1509"/>
    </row>
    <row r="753" spans="1:8">
      <c r="A753" s="5"/>
      <c r="B753" s="5"/>
      <c r="C753" s="5"/>
      <c r="D753" s="5"/>
      <c r="E753" s="5"/>
      <c r="F753" s="6"/>
      <c r="G753" s="5"/>
      <c r="H753" s="5"/>
    </row>
    <row r="756" spans="1:8" ht="28.8">
      <c r="A756" s="597"/>
      <c r="B756" s="597"/>
      <c r="C756" s="1513" t="s">
        <v>1091</v>
      </c>
      <c r="D756" s="1513"/>
      <c r="E756" s="1513"/>
      <c r="F756" s="1513"/>
      <c r="G756" s="1513"/>
      <c r="H756" s="1513"/>
    </row>
    <row r="757" spans="1:8" ht="25.8">
      <c r="A757" s="598"/>
      <c r="B757" s="598"/>
      <c r="C757" s="1537" t="s">
        <v>1092</v>
      </c>
      <c r="D757" s="1537"/>
      <c r="E757" s="1537"/>
      <c r="F757" s="1537"/>
      <c r="G757" s="1537"/>
      <c r="H757" s="1537"/>
    </row>
    <row r="758" spans="1:8" ht="21">
      <c r="A758" s="599"/>
      <c r="B758" s="599"/>
      <c r="C758" s="1536" t="s">
        <v>1078</v>
      </c>
      <c r="D758" s="1536"/>
      <c r="E758" s="1536"/>
      <c r="F758" s="1536"/>
      <c r="G758" s="1536"/>
      <c r="H758" s="1536"/>
    </row>
    <row r="759" spans="1:8">
      <c r="A759" s="7"/>
      <c r="B759" s="7"/>
      <c r="C759" s="7"/>
      <c r="D759" s="7"/>
      <c r="E759" s="7"/>
      <c r="F759" s="7"/>
      <c r="G759" s="7"/>
      <c r="H759" s="7"/>
    </row>
    <row r="760" spans="1:8" ht="12.6" thickBot="1">
      <c r="A760" s="7"/>
      <c r="B760" s="7"/>
      <c r="C760" s="7"/>
      <c r="D760" s="7"/>
      <c r="E760" s="7"/>
      <c r="F760" s="7"/>
      <c r="G760" s="7"/>
      <c r="H760" s="7"/>
    </row>
    <row r="761" spans="1:8" ht="15.6">
      <c r="A761" s="1538" t="s">
        <v>3</v>
      </c>
      <c r="B761" s="1540" t="s">
        <v>4</v>
      </c>
      <c r="C761" s="1540" t="s">
        <v>5</v>
      </c>
      <c r="D761" s="1540" t="s">
        <v>6</v>
      </c>
      <c r="E761" s="1540" t="s">
        <v>7</v>
      </c>
      <c r="F761" s="8" t="s">
        <v>8</v>
      </c>
      <c r="G761" s="8" t="s">
        <v>9</v>
      </c>
      <c r="H761" s="9" t="s">
        <v>10</v>
      </c>
    </row>
    <row r="762" spans="1:8" ht="15.6">
      <c r="A762" s="1539"/>
      <c r="B762" s="1517"/>
      <c r="C762" s="1517"/>
      <c r="D762" s="1517"/>
      <c r="E762" s="1517"/>
      <c r="F762" s="10" t="s">
        <v>11</v>
      </c>
      <c r="G762" s="10" t="s">
        <v>11</v>
      </c>
      <c r="H762" s="11" t="s">
        <v>11</v>
      </c>
    </row>
    <row r="763" spans="1:8" ht="15.6">
      <c r="A763" s="634" t="s">
        <v>12</v>
      </c>
      <c r="B763" s="594" t="s">
        <v>13</v>
      </c>
      <c r="C763" s="695"/>
      <c r="D763" s="592"/>
      <c r="E763" s="592"/>
      <c r="F763" s="595"/>
      <c r="G763" s="696"/>
      <c r="H763" s="697"/>
    </row>
    <row r="764" spans="1:8" ht="15.6">
      <c r="A764" s="634"/>
      <c r="B764" s="703" t="s">
        <v>1093</v>
      </c>
      <c r="C764" s="744">
        <v>1</v>
      </c>
      <c r="D764" s="699" t="s">
        <v>1095</v>
      </c>
      <c r="E764" s="592" t="s">
        <v>421</v>
      </c>
      <c r="F764" s="700">
        <v>894000</v>
      </c>
      <c r="G764" s="701">
        <f>F764*C764</f>
        <v>894000</v>
      </c>
      <c r="H764" s="702"/>
    </row>
    <row r="765" spans="1:8" ht="15.6">
      <c r="A765" s="634"/>
      <c r="B765" s="703" t="s">
        <v>1094</v>
      </c>
      <c r="C765" s="744">
        <v>54</v>
      </c>
      <c r="D765" s="699" t="s">
        <v>893</v>
      </c>
      <c r="E765" s="592" t="s">
        <v>421</v>
      </c>
      <c r="F765" s="700">
        <v>5000</v>
      </c>
      <c r="G765" s="701">
        <f>F765*C765</f>
        <v>270000</v>
      </c>
      <c r="H765" s="702"/>
    </row>
    <row r="766" spans="1:8" ht="15.6">
      <c r="A766" s="634"/>
      <c r="B766" s="703" t="s">
        <v>1096</v>
      </c>
      <c r="C766" s="744">
        <v>1</v>
      </c>
      <c r="D766" s="699" t="s">
        <v>1095</v>
      </c>
      <c r="E766" s="592" t="s">
        <v>421</v>
      </c>
      <c r="F766" s="700">
        <v>80000</v>
      </c>
      <c r="G766" s="701">
        <f>F766*C766</f>
        <v>80000</v>
      </c>
      <c r="H766" s="702"/>
    </row>
    <row r="767" spans="1:8" ht="15.6">
      <c r="A767" s="706"/>
      <c r="B767" s="707"/>
      <c r="C767" s="746"/>
      <c r="D767" s="709"/>
      <c r="E767" s="710"/>
      <c r="F767" s="715"/>
      <c r="G767" s="716"/>
      <c r="H767" s="624">
        <f>SUM(G764:G766)</f>
        <v>1244000</v>
      </c>
    </row>
    <row r="768" spans="1:8" ht="15.6">
      <c r="A768" s="634" t="s">
        <v>18</v>
      </c>
      <c r="B768" s="594" t="s">
        <v>19</v>
      </c>
      <c r="C768" s="745"/>
      <c r="D768" s="592"/>
      <c r="E768" s="592"/>
      <c r="F768" s="713"/>
      <c r="G768" s="701"/>
      <c r="H768" s="697"/>
    </row>
    <row r="769" spans="1:8" ht="15.6">
      <c r="A769" s="634"/>
      <c r="B769" s="711" t="s">
        <v>1097</v>
      </c>
      <c r="C769" s="744">
        <v>6</v>
      </c>
      <c r="D769" s="699" t="s">
        <v>977</v>
      </c>
      <c r="E769" s="699" t="s">
        <v>410</v>
      </c>
      <c r="F769" s="747">
        <v>25000</v>
      </c>
      <c r="G769" s="747">
        <f>C769*F769</f>
        <v>150000</v>
      </c>
      <c r="H769" s="697"/>
    </row>
    <row r="770" spans="1:8" ht="15.6">
      <c r="A770" s="634"/>
      <c r="B770" s="711" t="s">
        <v>1098</v>
      </c>
      <c r="C770" s="744">
        <v>54</v>
      </c>
      <c r="D770" s="699" t="s">
        <v>893</v>
      </c>
      <c r="E770" s="699" t="s">
        <v>410</v>
      </c>
      <c r="F770" s="747">
        <v>8000</v>
      </c>
      <c r="G770" s="747">
        <f>C770*F770</f>
        <v>432000</v>
      </c>
      <c r="H770" s="697"/>
    </row>
    <row r="771" spans="1:8" ht="15.6">
      <c r="A771" s="634"/>
      <c r="B771" s="711" t="s">
        <v>1099</v>
      </c>
      <c r="C771" s="744">
        <v>4</v>
      </c>
      <c r="D771" s="699" t="s">
        <v>919</v>
      </c>
      <c r="E771" s="592" t="s">
        <v>421</v>
      </c>
      <c r="F771" s="747">
        <v>44615</v>
      </c>
      <c r="G771" s="747">
        <f>C771*F771</f>
        <v>178460</v>
      </c>
      <c r="H771" s="697"/>
    </row>
    <row r="772" spans="1:8" ht="15.6">
      <c r="A772" s="634"/>
      <c r="B772" s="711" t="s">
        <v>1100</v>
      </c>
      <c r="C772" s="753">
        <v>0.83</v>
      </c>
      <c r="D772" s="699" t="s">
        <v>979</v>
      </c>
      <c r="E772" s="592" t="s">
        <v>421</v>
      </c>
      <c r="F772" s="747">
        <v>1591974</v>
      </c>
      <c r="G772" s="747">
        <f>C772*F772</f>
        <v>1321338.42</v>
      </c>
      <c r="H772" s="697"/>
    </row>
    <row r="773" spans="1:8" ht="15.6">
      <c r="A773" s="634"/>
      <c r="B773" s="712"/>
      <c r="C773" s="744"/>
      <c r="D773" s="699"/>
      <c r="E773" s="699"/>
      <c r="F773" s="747"/>
      <c r="G773" s="747"/>
      <c r="H773" s="697"/>
    </row>
    <row r="774" spans="1:8" ht="15.6">
      <c r="A774" s="634"/>
      <c r="B774" s="712"/>
      <c r="C774" s="744"/>
      <c r="D774" s="699"/>
      <c r="E774" s="699"/>
      <c r="F774" s="747"/>
      <c r="G774" s="747"/>
      <c r="H774" s="697"/>
    </row>
    <row r="775" spans="1:8" ht="15.6">
      <c r="A775" s="634"/>
      <c r="B775" s="595"/>
      <c r="C775" s="705"/>
      <c r="D775" s="592"/>
      <c r="E775" s="592"/>
      <c r="F775" s="713"/>
      <c r="G775" s="701"/>
      <c r="H775" s="697"/>
    </row>
    <row r="776" spans="1:8" ht="15.6">
      <c r="A776" s="714"/>
      <c r="B776" s="707"/>
      <c r="C776" s="708"/>
      <c r="D776" s="710"/>
      <c r="E776" s="710"/>
      <c r="F776" s="715"/>
      <c r="G776" s="716"/>
      <c r="H776" s="697"/>
    </row>
    <row r="777" spans="1:8" ht="15.6">
      <c r="A777" s="717"/>
      <c r="B777" s="718"/>
      <c r="C777" s="719"/>
      <c r="D777" s="720"/>
      <c r="E777" s="720"/>
      <c r="F777" s="721" t="s">
        <v>25</v>
      </c>
      <c r="G777" s="701">
        <f>SUM(G769:G775)</f>
        <v>2081798.42</v>
      </c>
      <c r="H777" s="697"/>
    </row>
    <row r="778" spans="1:8" ht="15.6">
      <c r="A778" s="717"/>
      <c r="B778" s="718"/>
      <c r="C778" s="719"/>
      <c r="D778" s="720"/>
      <c r="E778" s="720"/>
      <c r="F778" s="722" t="s">
        <v>26</v>
      </c>
      <c r="G778" s="701"/>
      <c r="H778" s="697"/>
    </row>
    <row r="779" spans="1:8" ht="15.6">
      <c r="A779" s="723"/>
      <c r="B779" s="724"/>
      <c r="C779" s="725"/>
      <c r="D779" s="726"/>
      <c r="E779" s="726"/>
      <c r="F779" s="727"/>
      <c r="G779" s="707"/>
      <c r="H779" s="624">
        <f>SUM(G777:G778)</f>
        <v>2081798.42</v>
      </c>
    </row>
    <row r="780" spans="1:8" ht="16.2" thickBot="1">
      <c r="A780" s="717"/>
      <c r="B780" s="728"/>
      <c r="C780" s="719"/>
      <c r="D780" s="720"/>
      <c r="E780" s="720"/>
      <c r="F780" s="729"/>
      <c r="G780" s="730"/>
      <c r="H780" s="605"/>
    </row>
    <row r="781" spans="1:8" ht="15.6">
      <c r="A781" s="731"/>
      <c r="B781" s="732"/>
      <c r="C781" s="733"/>
      <c r="D781" s="734"/>
      <c r="E781" s="734"/>
      <c r="F781" s="734"/>
      <c r="G781" s="735" t="s">
        <v>28</v>
      </c>
      <c r="H781" s="736">
        <f>SUM(H764:H779)</f>
        <v>3325798.42</v>
      </c>
    </row>
    <row r="782" spans="1:8" ht="16.2" thickBot="1">
      <c r="A782" s="737"/>
      <c r="B782" s="738"/>
      <c r="C782" s="739"/>
      <c r="D782" s="739"/>
      <c r="E782" s="740"/>
      <c r="F782" s="741"/>
      <c r="G782" s="742" t="s">
        <v>30</v>
      </c>
      <c r="H782" s="743">
        <f>ROUND(H781,-3)</f>
        <v>3326000</v>
      </c>
    </row>
    <row r="783" spans="1:8" ht="15.6">
      <c r="A783" s="49"/>
      <c r="B783" s="49"/>
      <c r="C783" s="49"/>
      <c r="D783" s="49"/>
      <c r="E783" s="49"/>
      <c r="F783" s="49"/>
      <c r="G783" s="49"/>
      <c r="H783" s="50"/>
    </row>
    <row r="784" spans="1:8" ht="18">
      <c r="A784" s="633" t="s">
        <v>549</v>
      </c>
      <c r="B784" s="49"/>
      <c r="C784" s="49"/>
      <c r="D784" s="49"/>
      <c r="E784" s="49"/>
      <c r="F784" s="49"/>
      <c r="G784" s="49"/>
      <c r="H784" s="50"/>
    </row>
    <row r="785" spans="1:8" ht="18">
      <c r="A785" s="51"/>
      <c r="B785" s="762" t="e">
        <f ca="1">PROPER([1]!terbilang(H782)&amp;" rupiah")</f>
        <v>#NAME?</v>
      </c>
      <c r="C785" s="51"/>
      <c r="D785" s="51"/>
      <c r="E785" s="51"/>
      <c r="F785" s="51"/>
      <c r="G785" s="604"/>
      <c r="H785" s="602"/>
    </row>
    <row r="786" spans="1:8" ht="15.6">
      <c r="A786" s="51"/>
      <c r="B786" s="51"/>
      <c r="C786" s="51"/>
      <c r="D786" s="51"/>
      <c r="E786" s="51"/>
      <c r="F786" s="51"/>
      <c r="G786" s="1509" t="s">
        <v>1135</v>
      </c>
      <c r="H786" s="1509"/>
    </row>
    <row r="787" spans="1:8" ht="15.6">
      <c r="A787" s="1509" t="s">
        <v>31</v>
      </c>
      <c r="B787" s="1509"/>
      <c r="C787" s="1583" t="s">
        <v>914</v>
      </c>
      <c r="D787" s="1509"/>
      <c r="E787" s="1509"/>
      <c r="F787" s="51"/>
      <c r="G787" s="1509" t="s">
        <v>33</v>
      </c>
      <c r="H787" s="1509"/>
    </row>
    <row r="788" spans="1:8" ht="15.6">
      <c r="A788" s="51"/>
      <c r="B788" s="51"/>
      <c r="C788" s="51"/>
      <c r="D788" s="51"/>
      <c r="E788" s="51"/>
      <c r="F788" s="51"/>
      <c r="G788" s="51"/>
      <c r="H788" s="51"/>
    </row>
    <row r="789" spans="1:8" ht="15.6">
      <c r="A789" s="51"/>
      <c r="B789" s="51"/>
      <c r="C789" s="51"/>
      <c r="D789" s="51"/>
      <c r="E789" s="51"/>
      <c r="F789" s="51"/>
      <c r="G789" s="51"/>
      <c r="H789" s="51"/>
    </row>
    <row r="790" spans="1:8" ht="15.6">
      <c r="A790" s="51"/>
      <c r="B790" s="51"/>
      <c r="C790" s="51"/>
      <c r="D790" s="51"/>
      <c r="E790" s="51"/>
      <c r="F790" s="51"/>
      <c r="G790" s="51"/>
      <c r="H790" s="51"/>
    </row>
    <row r="791" spans="1:8" ht="15.6">
      <c r="A791" s="1512" t="s">
        <v>34</v>
      </c>
      <c r="B791" s="1512"/>
      <c r="C791" s="1512" t="s">
        <v>1134</v>
      </c>
      <c r="D791" s="1512"/>
      <c r="E791" s="1512"/>
      <c r="F791" s="51"/>
      <c r="G791" s="1512" t="s">
        <v>36</v>
      </c>
      <c r="H791" s="1512"/>
    </row>
    <row r="792" spans="1:8" ht="15.6">
      <c r="A792" s="1509" t="s">
        <v>37</v>
      </c>
      <c r="B792" s="1509"/>
      <c r="C792" s="1509" t="s">
        <v>492</v>
      </c>
      <c r="D792" s="1509"/>
      <c r="E792" s="1509"/>
      <c r="F792" s="51"/>
      <c r="G792" s="1509" t="s">
        <v>39</v>
      </c>
      <c r="H792" s="1509"/>
    </row>
    <row r="793" spans="1:8">
      <c r="A793" s="5"/>
      <c r="B793" s="5"/>
      <c r="C793" s="5"/>
      <c r="D793" s="5"/>
      <c r="E793" s="5"/>
      <c r="F793" s="6"/>
      <c r="G793" s="5"/>
      <c r="H793" s="5"/>
    </row>
    <row r="795" spans="1:8" ht="28.8">
      <c r="A795" s="597"/>
      <c r="B795" s="597"/>
      <c r="C795" s="1513" t="s">
        <v>1077</v>
      </c>
      <c r="D795" s="1513"/>
      <c r="E795" s="1513"/>
      <c r="F795" s="1513"/>
      <c r="G795" s="1513"/>
      <c r="H795" s="1513"/>
    </row>
    <row r="796" spans="1:8" ht="25.8">
      <c r="A796" s="598"/>
      <c r="B796" s="598"/>
      <c r="C796" s="1537" t="s">
        <v>1090</v>
      </c>
      <c r="D796" s="1537"/>
      <c r="E796" s="1537"/>
      <c r="F796" s="1537"/>
      <c r="G796" s="1537"/>
      <c r="H796" s="1537"/>
    </row>
    <row r="797" spans="1:8" ht="21">
      <c r="A797" s="599"/>
      <c r="B797" s="599"/>
      <c r="C797" s="1536" t="s">
        <v>1078</v>
      </c>
      <c r="D797" s="1536"/>
      <c r="E797" s="1536"/>
      <c r="F797" s="1536"/>
      <c r="G797" s="1536"/>
      <c r="H797" s="1536"/>
    </row>
    <row r="798" spans="1:8">
      <c r="A798" s="7"/>
      <c r="B798" s="7"/>
      <c r="C798" s="7"/>
      <c r="D798" s="7"/>
      <c r="E798" s="7"/>
      <c r="F798" s="7"/>
      <c r="G798" s="7"/>
      <c r="H798" s="7"/>
    </row>
    <row r="799" spans="1:8" ht="12.6" thickBot="1">
      <c r="A799" s="7"/>
      <c r="B799" s="7"/>
      <c r="C799" s="7"/>
      <c r="D799" s="7"/>
      <c r="E799" s="7"/>
      <c r="F799" s="7"/>
      <c r="G799" s="7"/>
      <c r="H799" s="7"/>
    </row>
    <row r="800" spans="1:8" ht="15.6">
      <c r="A800" s="1538" t="s">
        <v>3</v>
      </c>
      <c r="B800" s="1540" t="s">
        <v>4</v>
      </c>
      <c r="C800" s="1540" t="s">
        <v>5</v>
      </c>
      <c r="D800" s="1540" t="s">
        <v>6</v>
      </c>
      <c r="E800" s="1540" t="s">
        <v>7</v>
      </c>
      <c r="F800" s="8" t="s">
        <v>8</v>
      </c>
      <c r="G800" s="8" t="s">
        <v>9</v>
      </c>
      <c r="H800" s="9" t="s">
        <v>10</v>
      </c>
    </row>
    <row r="801" spans="1:8" ht="15.6">
      <c r="A801" s="1539"/>
      <c r="B801" s="1517"/>
      <c r="C801" s="1517"/>
      <c r="D801" s="1517"/>
      <c r="E801" s="1517"/>
      <c r="F801" s="10" t="s">
        <v>11</v>
      </c>
      <c r="G801" s="10" t="s">
        <v>11</v>
      </c>
      <c r="H801" s="11" t="s">
        <v>11</v>
      </c>
    </row>
    <row r="802" spans="1:8" ht="15.6">
      <c r="A802" s="634" t="s">
        <v>12</v>
      </c>
      <c r="B802" s="594" t="s">
        <v>13</v>
      </c>
      <c r="C802" s="695"/>
      <c r="D802" s="592"/>
      <c r="E802" s="592"/>
      <c r="F802" s="595"/>
      <c r="G802" s="696"/>
      <c r="H802" s="697"/>
    </row>
    <row r="803" spans="1:8" ht="15.6">
      <c r="A803" s="634"/>
      <c r="B803" s="703" t="s">
        <v>1079</v>
      </c>
      <c r="C803" s="744">
        <v>2</v>
      </c>
      <c r="D803" s="699" t="s">
        <v>893</v>
      </c>
      <c r="E803" s="592" t="s">
        <v>421</v>
      </c>
      <c r="F803" s="700">
        <v>215000</v>
      </c>
      <c r="G803" s="701">
        <f>F803*C803</f>
        <v>430000</v>
      </c>
      <c r="H803" s="702"/>
    </row>
    <row r="804" spans="1:8" ht="15.6">
      <c r="A804" s="706"/>
      <c r="B804" s="707"/>
      <c r="C804" s="746"/>
      <c r="D804" s="709"/>
      <c r="E804" s="710"/>
      <c r="F804" s="715"/>
      <c r="G804" s="716"/>
      <c r="H804" s="624">
        <f>SUM(G803:G803)</f>
        <v>430000</v>
      </c>
    </row>
    <row r="805" spans="1:8" ht="15.6">
      <c r="A805" s="634" t="s">
        <v>18</v>
      </c>
      <c r="B805" s="594" t="s">
        <v>19</v>
      </c>
      <c r="C805" s="745"/>
      <c r="D805" s="592"/>
      <c r="E805" s="592"/>
      <c r="F805" s="713"/>
      <c r="G805" s="701"/>
      <c r="H805" s="697"/>
    </row>
    <row r="806" spans="1:8" ht="15.6">
      <c r="A806" s="634"/>
      <c r="B806" s="712" t="s">
        <v>1080</v>
      </c>
      <c r="C806" s="744">
        <v>2</v>
      </c>
      <c r="D806" s="699" t="s">
        <v>893</v>
      </c>
      <c r="E806" s="699" t="s">
        <v>421</v>
      </c>
      <c r="F806" s="747">
        <v>2455000</v>
      </c>
      <c r="G806" s="747">
        <f>C806*F806</f>
        <v>4910000</v>
      </c>
      <c r="H806" s="697"/>
    </row>
    <row r="807" spans="1:8" ht="15.6">
      <c r="A807" s="634"/>
      <c r="B807" s="712" t="s">
        <v>1081</v>
      </c>
      <c r="C807" s="744"/>
      <c r="D807" s="699"/>
      <c r="E807" s="699"/>
      <c r="F807" s="747"/>
      <c r="G807" s="747"/>
      <c r="H807" s="697"/>
    </row>
    <row r="808" spans="1:8" ht="15.6">
      <c r="A808" s="634"/>
      <c r="B808" s="712" t="s">
        <v>1082</v>
      </c>
      <c r="C808" s="744"/>
      <c r="D808" s="699"/>
      <c r="E808" s="699"/>
      <c r="F808" s="747"/>
      <c r="G808" s="747"/>
      <c r="H808" s="697"/>
    </row>
    <row r="809" spans="1:8" ht="15.6">
      <c r="A809" s="634"/>
      <c r="B809" s="711"/>
      <c r="C809" s="744"/>
      <c r="D809" s="699"/>
      <c r="E809" s="699"/>
      <c r="F809" s="747"/>
      <c r="G809" s="747"/>
      <c r="H809" s="697"/>
    </row>
    <row r="810" spans="1:8" ht="15.6">
      <c r="A810" s="634"/>
      <c r="B810" s="712" t="s">
        <v>1083</v>
      </c>
      <c r="C810" s="744">
        <v>2</v>
      </c>
      <c r="D810" s="699" t="s">
        <v>893</v>
      </c>
      <c r="E810" s="699" t="s">
        <v>421</v>
      </c>
      <c r="F810" s="747">
        <v>4175000</v>
      </c>
      <c r="G810" s="747">
        <f>C810*F810</f>
        <v>8350000</v>
      </c>
      <c r="H810" s="697"/>
    </row>
    <row r="811" spans="1:8" ht="15.6">
      <c r="A811" s="634"/>
      <c r="B811" s="712" t="s">
        <v>1084</v>
      </c>
      <c r="C811" s="744"/>
      <c r="D811" s="699"/>
      <c r="E811" s="699"/>
      <c r="F811" s="747"/>
      <c r="G811" s="747"/>
      <c r="H811" s="697"/>
    </row>
    <row r="812" spans="1:8" ht="15.6">
      <c r="A812" s="634"/>
      <c r="B812" s="712" t="s">
        <v>1089</v>
      </c>
      <c r="C812" s="744"/>
      <c r="D812" s="699"/>
      <c r="E812" s="699"/>
      <c r="F812" s="747"/>
      <c r="G812" s="747"/>
      <c r="H812" s="697"/>
    </row>
    <row r="813" spans="1:8" ht="15.6">
      <c r="A813" s="634"/>
      <c r="B813" s="712" t="s">
        <v>1085</v>
      </c>
      <c r="C813" s="744"/>
      <c r="D813" s="699"/>
      <c r="E813" s="699"/>
      <c r="F813" s="747"/>
      <c r="G813" s="747"/>
      <c r="H813" s="697"/>
    </row>
    <row r="814" spans="1:8" ht="15.6">
      <c r="A814" s="634"/>
      <c r="B814" s="712"/>
      <c r="C814" s="744"/>
      <c r="D814" s="699"/>
      <c r="E814" s="699"/>
      <c r="F814" s="747"/>
      <c r="G814" s="747"/>
      <c r="H814" s="697"/>
    </row>
    <row r="815" spans="1:8" ht="15.6">
      <c r="A815" s="634"/>
      <c r="B815" s="712" t="s">
        <v>1086</v>
      </c>
      <c r="C815" s="744">
        <v>1</v>
      </c>
      <c r="D815" s="699" t="s">
        <v>893</v>
      </c>
      <c r="E815" s="699" t="s">
        <v>51</v>
      </c>
      <c r="F815" s="747">
        <v>400000</v>
      </c>
      <c r="G815" s="747">
        <f>C815*F815</f>
        <v>400000</v>
      </c>
      <c r="H815" s="697"/>
    </row>
    <row r="816" spans="1:8" ht="15.6">
      <c r="A816" s="634"/>
      <c r="B816" s="712"/>
      <c r="C816" s="744"/>
      <c r="D816" s="699"/>
      <c r="E816" s="699"/>
      <c r="F816" s="747"/>
      <c r="G816" s="747"/>
      <c r="H816" s="697"/>
    </row>
    <row r="817" spans="1:256" ht="15.6">
      <c r="A817" s="634"/>
      <c r="B817" s="712" t="s">
        <v>1087</v>
      </c>
      <c r="C817" s="744">
        <v>1</v>
      </c>
      <c r="D817" s="699" t="s">
        <v>893</v>
      </c>
      <c r="E817" s="699" t="s">
        <v>51</v>
      </c>
      <c r="F817" s="747">
        <v>400000</v>
      </c>
      <c r="G817" s="747">
        <f>C817*F817</f>
        <v>400000</v>
      </c>
      <c r="H817" s="697"/>
    </row>
    <row r="818" spans="1:256" ht="15.6">
      <c r="A818" s="634"/>
      <c r="B818" s="635"/>
      <c r="C818" s="745"/>
      <c r="D818" s="592"/>
      <c r="E818" s="592"/>
      <c r="F818" s="713"/>
      <c r="G818" s="747"/>
      <c r="H818" s="697"/>
    </row>
    <row r="819" spans="1:256" ht="15.6">
      <c r="A819" s="634"/>
      <c r="B819" s="595" t="s">
        <v>1088</v>
      </c>
      <c r="C819" s="745">
        <v>1</v>
      </c>
      <c r="D819" s="592" t="s">
        <v>334</v>
      </c>
      <c r="E819" s="592" t="s">
        <v>51</v>
      </c>
      <c r="F819" s="713">
        <v>350000</v>
      </c>
      <c r="G819" s="747">
        <f>C819*F819</f>
        <v>350000</v>
      </c>
      <c r="H819" s="697"/>
    </row>
    <row r="820" spans="1:256" ht="15.6">
      <c r="A820" s="634"/>
      <c r="B820" s="635"/>
      <c r="C820" s="745"/>
      <c r="D820" s="592"/>
      <c r="E820" s="592"/>
      <c r="F820" s="713"/>
      <c r="G820" s="701"/>
      <c r="H820" s="697"/>
    </row>
    <row r="821" spans="1:256" ht="15.6">
      <c r="A821" s="634"/>
      <c r="B821" s="595"/>
      <c r="C821" s="705"/>
      <c r="D821" s="592"/>
      <c r="E821" s="592"/>
      <c r="F821" s="713"/>
      <c r="G821" s="701"/>
      <c r="H821" s="697"/>
    </row>
    <row r="822" spans="1:256" ht="15.6">
      <c r="A822" s="714"/>
      <c r="B822" s="707"/>
      <c r="C822" s="708"/>
      <c r="D822" s="710"/>
      <c r="E822" s="710"/>
      <c r="F822" s="715"/>
      <c r="G822" s="716"/>
      <c r="H822" s="697"/>
    </row>
    <row r="823" spans="1:256" customFormat="1" ht="15.6">
      <c r="A823" s="717"/>
      <c r="B823" s="718"/>
      <c r="C823" s="719"/>
      <c r="D823" s="720"/>
      <c r="E823" s="720"/>
      <c r="F823" s="721" t="s">
        <v>25</v>
      </c>
      <c r="G823" s="701">
        <f>SUM(G806:G822)</f>
        <v>14410000</v>
      </c>
      <c r="H823" s="697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</row>
    <row r="824" spans="1:256" customFormat="1" ht="15.6">
      <c r="A824" s="717"/>
      <c r="B824" s="718"/>
      <c r="C824" s="719"/>
      <c r="D824" s="720"/>
      <c r="E824" s="720"/>
      <c r="F824" s="722" t="s">
        <v>26</v>
      </c>
      <c r="G824" s="701">
        <f>G823/10</f>
        <v>1441000</v>
      </c>
      <c r="H824" s="697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</row>
    <row r="825" spans="1:256" customFormat="1" ht="15.6">
      <c r="A825" s="723"/>
      <c r="B825" s="724"/>
      <c r="C825" s="725"/>
      <c r="D825" s="726"/>
      <c r="E825" s="726"/>
      <c r="F825" s="727"/>
      <c r="G825" s="707"/>
      <c r="H825" s="624">
        <f>SUM(G823:G824)</f>
        <v>15851000</v>
      </c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</row>
    <row r="826" spans="1:256" customFormat="1" ht="16.2" thickBot="1">
      <c r="A826" s="717"/>
      <c r="B826" s="728"/>
      <c r="C826" s="719"/>
      <c r="D826" s="720"/>
      <c r="E826" s="720"/>
      <c r="F826" s="729"/>
      <c r="G826" s="730"/>
      <c r="H826" s="605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</row>
    <row r="827" spans="1:256" customFormat="1" ht="15.6">
      <c r="A827" s="731"/>
      <c r="B827" s="732"/>
      <c r="C827" s="733"/>
      <c r="D827" s="734"/>
      <c r="E827" s="734"/>
      <c r="F827" s="734"/>
      <c r="G827" s="735" t="s">
        <v>28</v>
      </c>
      <c r="H827" s="736">
        <f>SUM(H803:H825)</f>
        <v>16281000</v>
      </c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</row>
    <row r="828" spans="1:256" customFormat="1" ht="16.2" thickBot="1">
      <c r="A828" s="737"/>
      <c r="B828" s="738"/>
      <c r="C828" s="739"/>
      <c r="D828" s="739"/>
      <c r="E828" s="740"/>
      <c r="F828" s="741"/>
      <c r="G828" s="742" t="s">
        <v>30</v>
      </c>
      <c r="H828" s="743">
        <f>ROUND(H827,-3)</f>
        <v>16281000</v>
      </c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</row>
    <row r="829" spans="1:256" customFormat="1" ht="15.6">
      <c r="A829" s="49"/>
      <c r="B829" s="49"/>
      <c r="C829" s="49"/>
      <c r="D829" s="49"/>
      <c r="E829" s="49"/>
      <c r="F829" s="49"/>
      <c r="G829" s="49"/>
      <c r="H829" s="50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</row>
    <row r="830" spans="1:256" customFormat="1" ht="18">
      <c r="A830" s="633" t="s">
        <v>549</v>
      </c>
      <c r="B830" s="49"/>
      <c r="C830" s="49"/>
      <c r="D830" s="49"/>
      <c r="E830" s="49"/>
      <c r="F830" s="49"/>
      <c r="G830" s="49"/>
      <c r="H830" s="50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</row>
    <row r="831" spans="1:256" customFormat="1" ht="18">
      <c r="A831" s="51"/>
      <c r="B831" s="762" t="e">
        <f ca="1">PROPER([1]!terbilang(H828)&amp;" rupiah")</f>
        <v>#NAME?</v>
      </c>
      <c r="C831" s="51"/>
      <c r="D831" s="51"/>
      <c r="E831" s="51"/>
      <c r="F831" s="51"/>
      <c r="G831" s="604"/>
      <c r="H831" s="60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</row>
    <row r="832" spans="1:256" customFormat="1" ht="15.6">
      <c r="A832" s="51"/>
      <c r="B832" s="51"/>
      <c r="C832" s="51"/>
      <c r="D832" s="51"/>
      <c r="E832" s="51"/>
      <c r="F832" s="51"/>
      <c r="G832" s="1583" t="s">
        <v>1133</v>
      </c>
      <c r="H832" s="1509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</row>
    <row r="833" spans="1:256" customFormat="1" ht="15.6">
      <c r="A833" s="1509" t="s">
        <v>31</v>
      </c>
      <c r="B833" s="1509"/>
      <c r="C833" s="1583" t="s">
        <v>914</v>
      </c>
      <c r="D833" s="1509"/>
      <c r="E833" s="1509"/>
      <c r="F833" s="51"/>
      <c r="G833" s="1509" t="s">
        <v>33</v>
      </c>
      <c r="H833" s="1509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</row>
    <row r="834" spans="1:256" customFormat="1" ht="15.6">
      <c r="A834" s="51"/>
      <c r="B834" s="51"/>
      <c r="C834" s="51"/>
      <c r="D834" s="51"/>
      <c r="E834" s="51"/>
      <c r="F834" s="51"/>
      <c r="G834" s="51"/>
      <c r="H834" s="51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</row>
    <row r="835" spans="1:256" customFormat="1" ht="15.6">
      <c r="A835" s="51"/>
      <c r="B835" s="51"/>
      <c r="C835" s="51"/>
      <c r="D835" s="51"/>
      <c r="E835" s="51"/>
      <c r="F835" s="51"/>
      <c r="G835" s="51"/>
      <c r="H835" s="51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</row>
    <row r="836" spans="1:256" customFormat="1" ht="15.6">
      <c r="A836" s="51"/>
      <c r="B836" s="51"/>
      <c r="C836" s="51"/>
      <c r="D836" s="51"/>
      <c r="E836" s="51"/>
      <c r="F836" s="51"/>
      <c r="G836" s="51"/>
      <c r="H836" s="51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</row>
    <row r="837" spans="1:256" customFormat="1" ht="15.6">
      <c r="A837" s="1512" t="s">
        <v>34</v>
      </c>
      <c r="B837" s="1512"/>
      <c r="C837" s="1512" t="s">
        <v>1134</v>
      </c>
      <c r="D837" s="1512"/>
      <c r="E837" s="1512"/>
      <c r="F837" s="51"/>
      <c r="G837" s="1512" t="s">
        <v>36</v>
      </c>
      <c r="H837" s="151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</row>
    <row r="838" spans="1:256" customFormat="1" ht="15.6">
      <c r="A838" s="1509" t="s">
        <v>37</v>
      </c>
      <c r="B838" s="1509"/>
      <c r="C838" s="1509" t="s">
        <v>492</v>
      </c>
      <c r="D838" s="1509"/>
      <c r="E838" s="1509"/>
      <c r="F838" s="51"/>
      <c r="G838" s="1509" t="s">
        <v>39</v>
      </c>
      <c r="H838" s="1509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</row>
    <row r="839" spans="1:256" customFormat="1" ht="14.4">
      <c r="A839" s="5"/>
      <c r="B839" s="5"/>
      <c r="C839" s="5"/>
      <c r="D839" s="5"/>
      <c r="E839" s="5"/>
      <c r="F839" s="6"/>
      <c r="G839" s="5"/>
      <c r="H839" s="5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</row>
    <row r="840" spans="1:256" customFormat="1" ht="14.4">
      <c r="A840" s="1"/>
      <c r="B840" s="1"/>
      <c r="C840" s="1"/>
      <c r="D840" s="1"/>
      <c r="E840" s="1"/>
      <c r="F840" s="1"/>
      <c r="G840" s="1"/>
      <c r="H840" s="1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</row>
    <row r="841" spans="1:256" customFormat="1" ht="28.8">
      <c r="A841" s="597"/>
      <c r="B841" s="597"/>
      <c r="C841" s="1513" t="s">
        <v>235</v>
      </c>
      <c r="D841" s="1513"/>
      <c r="E841" s="1513"/>
      <c r="F841" s="1513"/>
      <c r="G841" s="1513"/>
      <c r="H841" s="1513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</row>
    <row r="842" spans="1:256" customFormat="1" ht="25.8">
      <c r="A842" s="598"/>
      <c r="B842" s="598"/>
      <c r="C842" s="1537" t="s">
        <v>1027</v>
      </c>
      <c r="D842" s="1537"/>
      <c r="E842" s="1537"/>
      <c r="F842" s="1537"/>
      <c r="G842" s="1537"/>
      <c r="H842" s="1537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</row>
    <row r="843" spans="1:256" customFormat="1" ht="21">
      <c r="A843" s="599"/>
      <c r="B843" s="599"/>
      <c r="C843" s="1536" t="s">
        <v>1028</v>
      </c>
      <c r="D843" s="1536"/>
      <c r="E843" s="1536"/>
      <c r="F843" s="1536"/>
      <c r="G843" s="1536"/>
      <c r="H843" s="1536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</row>
    <row r="844" spans="1:256" customFormat="1" ht="14.4">
      <c r="A844" s="7"/>
      <c r="B844" s="7"/>
      <c r="C844" s="7"/>
      <c r="D844" s="7"/>
      <c r="E844" s="7"/>
      <c r="F844" s="7"/>
      <c r="G844" s="7"/>
      <c r="H844" s="7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</row>
    <row r="845" spans="1:256" customFormat="1" ht="15" thickBot="1">
      <c r="A845" s="7"/>
      <c r="B845" s="7"/>
      <c r="C845" s="7"/>
      <c r="D845" s="7"/>
      <c r="E845" s="7"/>
      <c r="F845" s="7"/>
      <c r="G845" s="7"/>
      <c r="H845" s="7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</row>
    <row r="846" spans="1:256" customFormat="1" ht="15.6">
      <c r="A846" s="1538" t="s">
        <v>3</v>
      </c>
      <c r="B846" s="1540" t="s">
        <v>4</v>
      </c>
      <c r="C846" s="1540" t="s">
        <v>5</v>
      </c>
      <c r="D846" s="1540" t="s">
        <v>6</v>
      </c>
      <c r="E846" s="1540" t="s">
        <v>7</v>
      </c>
      <c r="F846" s="8" t="s">
        <v>8</v>
      </c>
      <c r="G846" s="8" t="s">
        <v>9</v>
      </c>
      <c r="H846" s="9" t="s">
        <v>10</v>
      </c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</row>
    <row r="847" spans="1:256" customFormat="1" ht="15.6">
      <c r="A847" s="1539"/>
      <c r="B847" s="1517"/>
      <c r="C847" s="1517"/>
      <c r="D847" s="1517"/>
      <c r="E847" s="1517"/>
      <c r="F847" s="10" t="s">
        <v>11</v>
      </c>
      <c r="G847" s="10" t="s">
        <v>11</v>
      </c>
      <c r="H847" s="11" t="s">
        <v>11</v>
      </c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</row>
    <row r="848" spans="1:256" customFormat="1" ht="15.6">
      <c r="A848" s="634" t="s">
        <v>12</v>
      </c>
      <c r="B848" s="594" t="s">
        <v>13</v>
      </c>
      <c r="C848" s="695"/>
      <c r="D848" s="592"/>
      <c r="E848" s="592"/>
      <c r="F848" s="595"/>
      <c r="G848" s="696"/>
      <c r="H848" s="697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</row>
    <row r="849" spans="1:256" customFormat="1" ht="15.6">
      <c r="A849" s="634"/>
      <c r="B849" s="703" t="s">
        <v>1044</v>
      </c>
      <c r="C849" s="744">
        <v>1</v>
      </c>
      <c r="D849" s="699" t="s">
        <v>21</v>
      </c>
      <c r="E849" s="592" t="s">
        <v>421</v>
      </c>
      <c r="F849" s="700">
        <v>103282235</v>
      </c>
      <c r="G849" s="701">
        <f>F849*C849</f>
        <v>103282235</v>
      </c>
      <c r="H849" s="70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</row>
    <row r="850" spans="1:256" customFormat="1" ht="15.6">
      <c r="A850" s="634"/>
      <c r="B850" s="703" t="s">
        <v>1046</v>
      </c>
      <c r="C850" s="744"/>
      <c r="D850" s="699"/>
      <c r="E850" s="592"/>
      <c r="F850" s="700"/>
      <c r="G850" s="701"/>
      <c r="H850" s="70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</row>
    <row r="851" spans="1:256" customFormat="1" ht="15.6">
      <c r="A851" s="634"/>
      <c r="B851" s="698" t="s">
        <v>1037</v>
      </c>
      <c r="C851" s="744"/>
      <c r="D851" s="699"/>
      <c r="E851" s="592"/>
      <c r="F851" s="700"/>
      <c r="G851" s="701"/>
      <c r="H851" s="70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</row>
    <row r="852" spans="1:256" customFormat="1" ht="15.6">
      <c r="A852" s="634"/>
      <c r="B852" s="698" t="s">
        <v>1036</v>
      </c>
      <c r="C852" s="744"/>
      <c r="D852" s="699"/>
      <c r="E852" s="592"/>
      <c r="F852" s="700"/>
      <c r="G852" s="701"/>
      <c r="H852" s="70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</row>
    <row r="853" spans="1:256" customFormat="1" ht="15.6">
      <c r="A853" s="634"/>
      <c r="B853" s="698" t="s">
        <v>1045</v>
      </c>
      <c r="C853" s="744"/>
      <c r="D853" s="699"/>
      <c r="E853" s="592"/>
      <c r="F853" s="700"/>
      <c r="G853" s="701"/>
      <c r="H853" s="70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</row>
    <row r="854" spans="1:256" customFormat="1" ht="15.6">
      <c r="A854" s="634"/>
      <c r="B854" s="703" t="s">
        <v>1035</v>
      </c>
      <c r="C854" s="744"/>
      <c r="D854" s="699"/>
      <c r="E854" s="592"/>
      <c r="F854" s="700"/>
      <c r="G854" s="701"/>
      <c r="H854" s="70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</row>
    <row r="855" spans="1:256" customFormat="1" ht="15.6">
      <c r="A855" s="704"/>
      <c r="B855" s="703" t="s">
        <v>1033</v>
      </c>
      <c r="C855" s="744"/>
      <c r="D855" s="699"/>
      <c r="E855" s="592"/>
      <c r="F855" s="700"/>
      <c r="G855" s="701"/>
      <c r="H855" s="605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</row>
    <row r="856" spans="1:256" customFormat="1" ht="15.6">
      <c r="A856" s="704"/>
      <c r="B856" s="698" t="s">
        <v>1034</v>
      </c>
      <c r="C856" s="744"/>
      <c r="D856" s="699"/>
      <c r="E856" s="592"/>
      <c r="F856" s="700"/>
      <c r="G856" s="701"/>
      <c r="H856" s="605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</row>
    <row r="857" spans="1:256" customFormat="1" ht="15.6">
      <c r="A857" s="704"/>
      <c r="B857" s="698" t="s">
        <v>1073</v>
      </c>
      <c r="C857" s="744"/>
      <c r="D857" s="699"/>
      <c r="E857" s="592"/>
      <c r="F857" s="700"/>
      <c r="G857" s="701"/>
      <c r="H857" s="605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</row>
    <row r="858" spans="1:256" customFormat="1" ht="15.6">
      <c r="A858" s="704"/>
      <c r="B858" s="703" t="s">
        <v>1038</v>
      </c>
      <c r="C858" s="744">
        <v>80</v>
      </c>
      <c r="D858" s="699" t="s">
        <v>919</v>
      </c>
      <c r="E858" s="592" t="s">
        <v>408</v>
      </c>
      <c r="F858" s="700">
        <v>5780</v>
      </c>
      <c r="G858" s="701">
        <f t="shared" ref="G858:G863" si="11">F858*C858</f>
        <v>462400</v>
      </c>
      <c r="H858" s="605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</row>
    <row r="859" spans="1:256" customFormat="1" ht="15.6">
      <c r="A859" s="704"/>
      <c r="B859" s="703" t="s">
        <v>1039</v>
      </c>
      <c r="C859" s="744">
        <v>10</v>
      </c>
      <c r="D859" s="699" t="s">
        <v>893</v>
      </c>
      <c r="E859" s="592" t="s">
        <v>421</v>
      </c>
      <c r="F859" s="700">
        <v>3500</v>
      </c>
      <c r="G859" s="701">
        <f t="shared" si="11"/>
        <v>35000</v>
      </c>
      <c r="H859" s="605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</row>
    <row r="860" spans="1:256" customFormat="1" ht="15.6">
      <c r="A860" s="704"/>
      <c r="B860" s="703" t="s">
        <v>1040</v>
      </c>
      <c r="C860" s="744">
        <v>6</v>
      </c>
      <c r="D860" s="699" t="s">
        <v>919</v>
      </c>
      <c r="E860" s="592" t="s">
        <v>421</v>
      </c>
      <c r="F860" s="700">
        <v>30950</v>
      </c>
      <c r="G860" s="701">
        <f t="shared" si="11"/>
        <v>185700</v>
      </c>
      <c r="H860" s="605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</row>
    <row r="861" spans="1:256" customFormat="1" ht="15.6">
      <c r="A861" s="704"/>
      <c r="B861" s="703" t="s">
        <v>1041</v>
      </c>
      <c r="C861" s="744">
        <v>2</v>
      </c>
      <c r="D861" s="699" t="s">
        <v>893</v>
      </c>
      <c r="E861" s="592" t="s">
        <v>408</v>
      </c>
      <c r="F861" s="700">
        <v>750000</v>
      </c>
      <c r="G861" s="701">
        <f t="shared" si="11"/>
        <v>1500000</v>
      </c>
      <c r="H861" s="605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</row>
    <row r="862" spans="1:256" customFormat="1" ht="15.6">
      <c r="A862" s="704"/>
      <c r="B862" s="703" t="s">
        <v>1042</v>
      </c>
      <c r="C862" s="744">
        <v>72</v>
      </c>
      <c r="D862" s="699" t="s">
        <v>893</v>
      </c>
      <c r="E862" s="592" t="s">
        <v>408</v>
      </c>
      <c r="F862" s="700">
        <v>5868</v>
      </c>
      <c r="G862" s="701">
        <f t="shared" si="11"/>
        <v>422496</v>
      </c>
      <c r="H862" s="605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</row>
    <row r="863" spans="1:256" customFormat="1" ht="15.6">
      <c r="A863" s="704"/>
      <c r="B863" s="703" t="s">
        <v>1043</v>
      </c>
      <c r="C863" s="744">
        <v>2</v>
      </c>
      <c r="D863" s="699" t="s">
        <v>919</v>
      </c>
      <c r="E863" s="592" t="s">
        <v>408</v>
      </c>
      <c r="F863" s="700">
        <v>132000</v>
      </c>
      <c r="G863" s="701">
        <f t="shared" si="11"/>
        <v>264000</v>
      </c>
      <c r="H863" s="605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</row>
    <row r="864" spans="1:256" customFormat="1" ht="15.6">
      <c r="A864" s="704"/>
      <c r="B864" s="635"/>
      <c r="C864" s="745"/>
      <c r="D864" s="591"/>
      <c r="E864" s="592"/>
      <c r="F864" s="700"/>
      <c r="G864" s="701"/>
      <c r="H864" s="605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</row>
    <row r="865" spans="1:256" customFormat="1" ht="15.6">
      <c r="A865" s="706"/>
      <c r="B865" s="707"/>
      <c r="C865" s="746"/>
      <c r="D865" s="709"/>
      <c r="E865" s="710"/>
      <c r="F865" s="715"/>
      <c r="G865" s="716"/>
      <c r="H865" s="624">
        <f>SUM(G849:G863)</f>
        <v>106151831</v>
      </c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</row>
    <row r="866" spans="1:256" customFormat="1" ht="15.6">
      <c r="A866" s="634" t="s">
        <v>18</v>
      </c>
      <c r="B866" s="594" t="s">
        <v>19</v>
      </c>
      <c r="C866" s="745"/>
      <c r="D866" s="592"/>
      <c r="E866" s="592"/>
      <c r="F866" s="713"/>
      <c r="G866" s="701"/>
      <c r="H866" s="697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</row>
    <row r="867" spans="1:256" customFormat="1" ht="15.6">
      <c r="A867" s="634"/>
      <c r="B867" s="711" t="s">
        <v>1014</v>
      </c>
      <c r="C867" s="744">
        <v>1</v>
      </c>
      <c r="D867" s="699" t="s">
        <v>893</v>
      </c>
      <c r="E867" s="699" t="s">
        <v>421</v>
      </c>
      <c r="F867" s="747">
        <v>605385</v>
      </c>
      <c r="G867" s="747">
        <f t="shared" ref="G867:G880" si="12">C867*F867</f>
        <v>605385</v>
      </c>
      <c r="H867" s="697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</row>
    <row r="868" spans="1:256" customFormat="1" ht="15.6">
      <c r="A868" s="634"/>
      <c r="B868" s="711" t="s">
        <v>1025</v>
      </c>
      <c r="C868" s="744">
        <v>2</v>
      </c>
      <c r="D868" s="699" t="s">
        <v>893</v>
      </c>
      <c r="E868" s="699" t="s">
        <v>421</v>
      </c>
      <c r="F868" s="747">
        <v>302692</v>
      </c>
      <c r="G868" s="747">
        <f t="shared" si="12"/>
        <v>605384</v>
      </c>
      <c r="H868" s="697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</row>
    <row r="869" spans="1:256" customFormat="1" ht="15.6">
      <c r="A869" s="634"/>
      <c r="B869" s="712" t="s">
        <v>1026</v>
      </c>
      <c r="C869" s="744"/>
      <c r="D869" s="699"/>
      <c r="E869" s="699"/>
      <c r="F869" s="747"/>
      <c r="G869" s="747"/>
      <c r="H869" s="697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</row>
    <row r="870" spans="1:256" customFormat="1" ht="15.6">
      <c r="A870" s="634"/>
      <c r="B870" s="711" t="s">
        <v>1074</v>
      </c>
      <c r="C870" s="744">
        <v>1</v>
      </c>
      <c r="D870" s="699" t="s">
        <v>334</v>
      </c>
      <c r="E870" s="699" t="s">
        <v>421</v>
      </c>
      <c r="F870" s="747">
        <v>4281250</v>
      </c>
      <c r="G870" s="747">
        <f t="shared" si="12"/>
        <v>4281250</v>
      </c>
      <c r="H870" s="697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</row>
    <row r="871" spans="1:256" ht="15.6">
      <c r="A871" s="634"/>
      <c r="B871" s="712" t="s">
        <v>1015</v>
      </c>
      <c r="C871" s="744"/>
      <c r="D871" s="699"/>
      <c r="E871" s="699"/>
      <c r="F871" s="747"/>
      <c r="G871" s="747"/>
      <c r="H871" s="697"/>
    </row>
    <row r="872" spans="1:256" ht="15.6">
      <c r="A872" s="634"/>
      <c r="B872" s="711" t="s">
        <v>1017</v>
      </c>
      <c r="C872" s="744">
        <v>1</v>
      </c>
      <c r="D872" s="699" t="s">
        <v>334</v>
      </c>
      <c r="E872" s="699" t="s">
        <v>421</v>
      </c>
      <c r="F872" s="747">
        <v>2000000</v>
      </c>
      <c r="G872" s="747">
        <f t="shared" si="12"/>
        <v>2000000</v>
      </c>
      <c r="H872" s="697"/>
    </row>
    <row r="873" spans="1:256" ht="15.6">
      <c r="A873" s="634"/>
      <c r="B873" s="711" t="s">
        <v>1021</v>
      </c>
      <c r="C873" s="744">
        <v>154</v>
      </c>
      <c r="D873" s="699" t="s">
        <v>919</v>
      </c>
      <c r="E873" s="699" t="s">
        <v>421</v>
      </c>
      <c r="F873" s="747">
        <v>4790</v>
      </c>
      <c r="G873" s="747">
        <f t="shared" si="12"/>
        <v>737660</v>
      </c>
      <c r="H873" s="697"/>
    </row>
    <row r="874" spans="1:256" ht="15.6">
      <c r="A874" s="634"/>
      <c r="B874" s="712" t="s">
        <v>1018</v>
      </c>
      <c r="C874" s="744"/>
      <c r="D874" s="699"/>
      <c r="E874" s="699"/>
      <c r="F874" s="747"/>
      <c r="G874" s="747"/>
      <c r="H874" s="697"/>
    </row>
    <row r="875" spans="1:256" ht="15.6">
      <c r="A875" s="634"/>
      <c r="B875" s="711" t="s">
        <v>1022</v>
      </c>
      <c r="C875" s="744">
        <v>6</v>
      </c>
      <c r="D875" s="699" t="s">
        <v>919</v>
      </c>
      <c r="E875" s="699" t="s">
        <v>421</v>
      </c>
      <c r="F875" s="747">
        <v>7815</v>
      </c>
      <c r="G875" s="747">
        <f t="shared" si="12"/>
        <v>46890</v>
      </c>
      <c r="H875" s="697"/>
    </row>
    <row r="876" spans="1:256" ht="15.6">
      <c r="A876" s="634"/>
      <c r="B876" s="712" t="s">
        <v>1019</v>
      </c>
      <c r="C876" s="744"/>
      <c r="D876" s="699"/>
      <c r="E876" s="699"/>
      <c r="F876" s="747"/>
      <c r="G876" s="747"/>
      <c r="H876" s="697"/>
    </row>
    <row r="877" spans="1:256" ht="15.6">
      <c r="A877" s="634"/>
      <c r="B877" s="711" t="s">
        <v>1020</v>
      </c>
      <c r="C877" s="744">
        <v>2</v>
      </c>
      <c r="D877" s="699" t="s">
        <v>977</v>
      </c>
      <c r="E877" s="699" t="s">
        <v>410</v>
      </c>
      <c r="F877" s="747">
        <v>75000</v>
      </c>
      <c r="G877" s="747">
        <f t="shared" si="12"/>
        <v>150000</v>
      </c>
      <c r="H877" s="697"/>
    </row>
    <row r="878" spans="1:256" ht="15.6">
      <c r="A878" s="634"/>
      <c r="B878" s="635" t="s">
        <v>1029</v>
      </c>
      <c r="C878" s="745">
        <v>1</v>
      </c>
      <c r="D878" s="592" t="s">
        <v>897</v>
      </c>
      <c r="E878" s="592" t="s">
        <v>410</v>
      </c>
      <c r="F878" s="713">
        <v>350000</v>
      </c>
      <c r="G878" s="747">
        <f t="shared" si="12"/>
        <v>350000</v>
      </c>
      <c r="H878" s="697"/>
    </row>
    <row r="879" spans="1:256" ht="15.6">
      <c r="A879" s="634"/>
      <c r="B879" s="635" t="s">
        <v>1030</v>
      </c>
      <c r="C879" s="745">
        <v>1</v>
      </c>
      <c r="D879" s="592" t="s">
        <v>334</v>
      </c>
      <c r="E879" s="592" t="s">
        <v>410</v>
      </c>
      <c r="F879" s="713">
        <v>400000</v>
      </c>
      <c r="G879" s="747">
        <f t="shared" si="12"/>
        <v>400000</v>
      </c>
      <c r="H879" s="697"/>
    </row>
    <row r="880" spans="1:256" ht="15.6">
      <c r="A880" s="634"/>
      <c r="B880" s="635" t="s">
        <v>1031</v>
      </c>
      <c r="C880" s="745">
        <v>1</v>
      </c>
      <c r="D880" s="592" t="s">
        <v>897</v>
      </c>
      <c r="E880" s="592" t="s">
        <v>410</v>
      </c>
      <c r="F880" s="713">
        <v>500000</v>
      </c>
      <c r="G880" s="701">
        <f t="shared" si="12"/>
        <v>500000</v>
      </c>
      <c r="H880" s="697"/>
    </row>
    <row r="881" spans="1:8" ht="15.6">
      <c r="A881" s="634"/>
      <c r="B881" s="595"/>
      <c r="C881" s="705"/>
      <c r="D881" s="592"/>
      <c r="E881" s="592"/>
      <c r="F881" s="713"/>
      <c r="G881" s="701"/>
      <c r="H881" s="697"/>
    </row>
    <row r="882" spans="1:8" ht="15.6">
      <c r="A882" s="714"/>
      <c r="B882" s="707"/>
      <c r="C882" s="708"/>
      <c r="D882" s="710"/>
      <c r="E882" s="710"/>
      <c r="F882" s="715"/>
      <c r="G882" s="716"/>
      <c r="H882" s="697"/>
    </row>
    <row r="883" spans="1:8" ht="15.6">
      <c r="A883" s="717"/>
      <c r="B883" s="718"/>
      <c r="C883" s="719"/>
      <c r="D883" s="720"/>
      <c r="E883" s="720"/>
      <c r="F883" s="721" t="s">
        <v>25</v>
      </c>
      <c r="G883" s="701">
        <f>SUM(G867:G882)</f>
        <v>9676569</v>
      </c>
      <c r="H883" s="697"/>
    </row>
    <row r="884" spans="1:8" ht="15.6">
      <c r="A884" s="717"/>
      <c r="B884" s="718"/>
      <c r="C884" s="719"/>
      <c r="D884" s="720"/>
      <c r="E884" s="720"/>
      <c r="F884" s="722" t="s">
        <v>26</v>
      </c>
      <c r="G884" s="701">
        <f>G883/10</f>
        <v>967656.9</v>
      </c>
      <c r="H884" s="697"/>
    </row>
    <row r="885" spans="1:8" ht="15.6">
      <c r="A885" s="723"/>
      <c r="B885" s="724"/>
      <c r="C885" s="725"/>
      <c r="D885" s="726"/>
      <c r="E885" s="726"/>
      <c r="F885" s="727"/>
      <c r="G885" s="707"/>
      <c r="H885" s="624">
        <f>SUM(G883:G884)</f>
        <v>10644225.9</v>
      </c>
    </row>
    <row r="886" spans="1:8" ht="16.2" thickBot="1">
      <c r="A886" s="717"/>
      <c r="B886" s="728"/>
      <c r="C886" s="719"/>
      <c r="D886" s="720"/>
      <c r="E886" s="720"/>
      <c r="F886" s="729"/>
      <c r="G886" s="730"/>
      <c r="H886" s="605"/>
    </row>
    <row r="887" spans="1:8" ht="15.6">
      <c r="A887" s="731"/>
      <c r="B887" s="732"/>
      <c r="C887" s="733"/>
      <c r="D887" s="734"/>
      <c r="E887" s="734"/>
      <c r="F887" s="734"/>
      <c r="G887" s="735" t="s">
        <v>28</v>
      </c>
      <c r="H887" s="736">
        <f>SUM(H849:H885)</f>
        <v>116796056.90000001</v>
      </c>
    </row>
    <row r="888" spans="1:8" ht="16.2" thickBot="1">
      <c r="A888" s="737"/>
      <c r="B888" s="738"/>
      <c r="C888" s="739"/>
      <c r="D888" s="739"/>
      <c r="E888" s="740"/>
      <c r="F888" s="741"/>
      <c r="G888" s="742" t="s">
        <v>30</v>
      </c>
      <c r="H888" s="743">
        <f>ROUND(H887,-3)</f>
        <v>116796000</v>
      </c>
    </row>
    <row r="889" spans="1:8" ht="15.6">
      <c r="A889" s="49"/>
      <c r="B889" s="49"/>
      <c r="C889" s="49"/>
      <c r="D889" s="49"/>
      <c r="E889" s="49"/>
      <c r="F889" s="49"/>
      <c r="G889" s="49"/>
      <c r="H889" s="50"/>
    </row>
    <row r="890" spans="1:8" ht="18">
      <c r="A890" s="633" t="s">
        <v>1076</v>
      </c>
      <c r="B890" s="49"/>
      <c r="C890" s="49"/>
      <c r="D890" s="49"/>
      <c r="E890" s="49"/>
      <c r="F890" s="49"/>
      <c r="G890" s="49"/>
      <c r="H890" s="50"/>
    </row>
    <row r="891" spans="1:8" ht="15.6">
      <c r="A891" s="51"/>
      <c r="B891" s="51"/>
      <c r="C891" s="51"/>
      <c r="D891" s="51"/>
      <c r="E891" s="51"/>
      <c r="F891" s="51"/>
      <c r="G891" s="604"/>
      <c r="H891" s="602"/>
    </row>
    <row r="892" spans="1:8" ht="15.6">
      <c r="A892" s="51"/>
      <c r="B892" s="51"/>
      <c r="C892" s="51"/>
      <c r="D892" s="51"/>
      <c r="E892" s="51"/>
      <c r="F892" s="51"/>
      <c r="G892" s="1583" t="s">
        <v>1075</v>
      </c>
      <c r="H892" s="1509"/>
    </row>
    <row r="893" spans="1:8" ht="15.6">
      <c r="A893" s="1509" t="s">
        <v>31</v>
      </c>
      <c r="B893" s="1509"/>
      <c r="C893" s="1583" t="s">
        <v>914</v>
      </c>
      <c r="D893" s="1509"/>
      <c r="E893" s="1509"/>
      <c r="F893" s="51"/>
      <c r="G893" s="1509" t="s">
        <v>33</v>
      </c>
      <c r="H893" s="1509"/>
    </row>
    <row r="894" spans="1:8" ht="15.6">
      <c r="A894" s="51"/>
      <c r="B894" s="51"/>
      <c r="C894" s="51"/>
      <c r="D894" s="51"/>
      <c r="E894" s="51"/>
      <c r="F894" s="51"/>
      <c r="G894" s="51"/>
      <c r="H894" s="51"/>
    </row>
    <row r="895" spans="1:8" ht="15.6">
      <c r="A895" s="51"/>
      <c r="B895" s="51"/>
      <c r="C895" s="51"/>
      <c r="D895" s="51"/>
      <c r="E895" s="51"/>
      <c r="F895" s="51"/>
      <c r="G895" s="51"/>
      <c r="H895" s="51"/>
    </row>
    <row r="896" spans="1:8" ht="15.6">
      <c r="A896" s="51"/>
      <c r="B896" s="51"/>
      <c r="C896" s="51"/>
      <c r="D896" s="51"/>
      <c r="E896" s="51"/>
      <c r="F896" s="51"/>
      <c r="G896" s="51"/>
      <c r="H896" s="51"/>
    </row>
    <row r="897" spans="1:8" ht="15.6">
      <c r="A897" s="1512" t="s">
        <v>34</v>
      </c>
      <c r="B897" s="1512"/>
      <c r="C897" s="1512" t="s">
        <v>35</v>
      </c>
      <c r="D897" s="1512"/>
      <c r="E897" s="1512"/>
      <c r="F897" s="51"/>
      <c r="G897" s="1512" t="s">
        <v>36</v>
      </c>
      <c r="H897" s="1512"/>
    </row>
    <row r="898" spans="1:8" ht="15.6">
      <c r="A898" s="1509" t="s">
        <v>37</v>
      </c>
      <c r="B898" s="1509"/>
      <c r="C898" s="1509" t="s">
        <v>38</v>
      </c>
      <c r="D898" s="1509"/>
      <c r="E898" s="1509"/>
      <c r="F898" s="51"/>
      <c r="G898" s="1509" t="s">
        <v>39</v>
      </c>
      <c r="H898" s="1509"/>
    </row>
    <row r="899" spans="1:8">
      <c r="A899" s="5"/>
      <c r="B899" s="5"/>
      <c r="C899" s="5"/>
      <c r="D899" s="5"/>
      <c r="E899" s="5"/>
      <c r="F899" s="6"/>
      <c r="G899" s="5"/>
      <c r="H899" s="5"/>
    </row>
    <row r="902" spans="1:8" ht="28.8">
      <c r="A902" s="597"/>
      <c r="B902" s="597"/>
      <c r="C902" s="1513" t="s">
        <v>235</v>
      </c>
      <c r="D902" s="1513"/>
      <c r="E902" s="1513"/>
      <c r="F902" s="1513"/>
      <c r="G902" s="1513"/>
      <c r="H902" s="1513"/>
    </row>
    <row r="903" spans="1:8" ht="25.8">
      <c r="A903" s="598"/>
      <c r="B903" s="598"/>
      <c r="C903" s="1537" t="s">
        <v>952</v>
      </c>
      <c r="D903" s="1537"/>
      <c r="E903" s="1537"/>
      <c r="F903" s="1537"/>
      <c r="G903" s="1537"/>
      <c r="H903" s="1537"/>
    </row>
    <row r="904" spans="1:8" ht="25.8">
      <c r="A904" s="598"/>
      <c r="B904" s="598"/>
      <c r="C904" s="1537" t="s">
        <v>953</v>
      </c>
      <c r="D904" s="1537"/>
      <c r="E904" s="1537"/>
      <c r="F904" s="1537"/>
      <c r="G904" s="1537"/>
      <c r="H904" s="1537"/>
    </row>
    <row r="905" spans="1:8" s="2" customFormat="1" ht="21">
      <c r="A905" s="599"/>
      <c r="B905" s="599"/>
      <c r="C905" s="1536" t="s">
        <v>954</v>
      </c>
      <c r="D905" s="1536"/>
      <c r="E905" s="1536"/>
      <c r="F905" s="1536"/>
      <c r="G905" s="1536"/>
      <c r="H905" s="1536"/>
    </row>
    <row r="906" spans="1:8" s="2" customFormat="1">
      <c r="A906" s="7"/>
      <c r="B906" s="7"/>
      <c r="C906" s="7"/>
      <c r="D906" s="7"/>
      <c r="E906" s="7"/>
      <c r="F906" s="7"/>
      <c r="G906" s="7"/>
      <c r="H906" s="7"/>
    </row>
    <row r="907" spans="1:8" s="2" customFormat="1" ht="12.6" thickBot="1">
      <c r="A907" s="7"/>
      <c r="B907" s="7"/>
      <c r="C907" s="7"/>
      <c r="D907" s="7"/>
      <c r="E907" s="7"/>
      <c r="F907" s="7"/>
      <c r="G907" s="7"/>
      <c r="H907" s="7"/>
    </row>
    <row r="908" spans="1:8" s="2" customFormat="1" ht="15.6">
      <c r="A908" s="1538" t="s">
        <v>3</v>
      </c>
      <c r="B908" s="1540" t="s">
        <v>4</v>
      </c>
      <c r="C908" s="1540" t="s">
        <v>5</v>
      </c>
      <c r="D908" s="1540" t="s">
        <v>6</v>
      </c>
      <c r="E908" s="1540" t="s">
        <v>7</v>
      </c>
      <c r="F908" s="8" t="s">
        <v>8</v>
      </c>
      <c r="G908" s="8" t="s">
        <v>9</v>
      </c>
      <c r="H908" s="9" t="s">
        <v>10</v>
      </c>
    </row>
    <row r="909" spans="1:8" s="2" customFormat="1" ht="15.6">
      <c r="A909" s="1539"/>
      <c r="B909" s="1517"/>
      <c r="C909" s="1517"/>
      <c r="D909" s="1517"/>
      <c r="E909" s="1517"/>
      <c r="F909" s="10" t="s">
        <v>11</v>
      </c>
      <c r="G909" s="10" t="s">
        <v>11</v>
      </c>
      <c r="H909" s="11" t="s">
        <v>11</v>
      </c>
    </row>
    <row r="910" spans="1:8" s="2" customFormat="1" ht="15.6">
      <c r="A910" s="12" t="s">
        <v>12</v>
      </c>
      <c r="B910" s="13" t="s">
        <v>13</v>
      </c>
      <c r="C910" s="14"/>
      <c r="D910" s="15"/>
      <c r="E910" s="15"/>
      <c r="F910" s="16"/>
      <c r="G910" s="17"/>
      <c r="H910" s="18"/>
    </row>
    <row r="911" spans="1:8" s="2" customFormat="1" ht="15.6">
      <c r="A911" s="12"/>
      <c r="B911" s="580" t="s">
        <v>956</v>
      </c>
      <c r="C911" s="23">
        <v>2</v>
      </c>
      <c r="D911" s="591" t="s">
        <v>334</v>
      </c>
      <c r="E911" s="592" t="s">
        <v>421</v>
      </c>
      <c r="F911" s="593">
        <v>5062500</v>
      </c>
      <c r="G911" s="20">
        <f>F911*C911</f>
        <v>10125000</v>
      </c>
      <c r="H911" s="21"/>
    </row>
    <row r="912" spans="1:8" s="2" customFormat="1" ht="15.6">
      <c r="A912" s="12"/>
      <c r="B912" s="16" t="s">
        <v>955</v>
      </c>
      <c r="C912" s="23"/>
      <c r="D912" s="591"/>
      <c r="E912" s="15"/>
      <c r="F912" s="593"/>
      <c r="G912" s="20"/>
      <c r="H912" s="21"/>
    </row>
    <row r="913" spans="1:8" s="2" customFormat="1" ht="15.6">
      <c r="A913" s="12"/>
      <c r="B913" s="16" t="s">
        <v>957</v>
      </c>
      <c r="C913" s="23"/>
      <c r="D913" s="591"/>
      <c r="E913" s="15"/>
      <c r="F913" s="593"/>
      <c r="G913" s="20"/>
      <c r="H913" s="21"/>
    </row>
    <row r="914" spans="1:8" ht="15.6">
      <c r="A914" s="12"/>
      <c r="B914" s="16" t="s">
        <v>958</v>
      </c>
      <c r="C914" s="23"/>
      <c r="D914" s="591"/>
      <c r="E914" s="15"/>
      <c r="F914" s="593"/>
      <c r="G914" s="20"/>
      <c r="H914" s="21"/>
    </row>
    <row r="915" spans="1:8" ht="15.6">
      <c r="A915" s="12"/>
      <c r="B915" s="635" t="s">
        <v>959</v>
      </c>
      <c r="C915" s="23">
        <v>36</v>
      </c>
      <c r="D915" s="591" t="s">
        <v>919</v>
      </c>
      <c r="E915" s="592" t="s">
        <v>408</v>
      </c>
      <c r="F915" s="593">
        <v>3791</v>
      </c>
      <c r="G915" s="20">
        <f t="shared" ref="G915:G923" si="13">F915*C915</f>
        <v>136476</v>
      </c>
      <c r="H915" s="21"/>
    </row>
    <row r="916" spans="1:8" ht="15.6">
      <c r="A916" s="12"/>
      <c r="B916" s="635" t="s">
        <v>960</v>
      </c>
      <c r="C916" s="23">
        <v>10</v>
      </c>
      <c r="D916" s="591" t="s">
        <v>893</v>
      </c>
      <c r="E916" s="592" t="s">
        <v>421</v>
      </c>
      <c r="F916" s="593">
        <v>2000</v>
      </c>
      <c r="G916" s="20">
        <f t="shared" si="13"/>
        <v>20000</v>
      </c>
      <c r="H916" s="21"/>
    </row>
    <row r="917" spans="1:8" ht="15.6">
      <c r="A917" s="22"/>
      <c r="B917" s="635" t="s">
        <v>961</v>
      </c>
      <c r="C917" s="23">
        <v>2</v>
      </c>
      <c r="D917" s="591" t="s">
        <v>964</v>
      </c>
      <c r="E917" s="592" t="s">
        <v>421</v>
      </c>
      <c r="F917" s="593">
        <v>7500</v>
      </c>
      <c r="G917" s="20">
        <f t="shared" si="13"/>
        <v>15000</v>
      </c>
      <c r="H917" s="26"/>
    </row>
    <row r="918" spans="1:8" ht="15.6">
      <c r="A918" s="22"/>
      <c r="B918" s="635" t="s">
        <v>984</v>
      </c>
      <c r="C918" s="23">
        <v>1</v>
      </c>
      <c r="D918" s="591" t="s">
        <v>144</v>
      </c>
      <c r="E918" s="592" t="s">
        <v>421</v>
      </c>
      <c r="F918" s="593">
        <v>270000</v>
      </c>
      <c r="G918" s="20">
        <f t="shared" si="13"/>
        <v>270000</v>
      </c>
      <c r="H918" s="26"/>
    </row>
    <row r="919" spans="1:8" ht="15.6">
      <c r="A919" s="22"/>
      <c r="B919" s="635" t="s">
        <v>962</v>
      </c>
      <c r="C919" s="23">
        <v>2</v>
      </c>
      <c r="D919" s="591" t="s">
        <v>893</v>
      </c>
      <c r="E919" s="592" t="s">
        <v>421</v>
      </c>
      <c r="F919" s="593">
        <v>8500</v>
      </c>
      <c r="G919" s="20">
        <f t="shared" si="13"/>
        <v>17000</v>
      </c>
      <c r="H919" s="26"/>
    </row>
    <row r="920" spans="1:8" ht="15.6">
      <c r="A920" s="22"/>
      <c r="B920" s="635" t="s">
        <v>986</v>
      </c>
      <c r="C920" s="23">
        <v>2</v>
      </c>
      <c r="D920" s="591" t="s">
        <v>893</v>
      </c>
      <c r="E920" s="592" t="s">
        <v>421</v>
      </c>
      <c r="F920" s="593">
        <v>8000</v>
      </c>
      <c r="G920" s="20">
        <f t="shared" si="13"/>
        <v>16000</v>
      </c>
      <c r="H920" s="26"/>
    </row>
    <row r="921" spans="1:8" ht="15.6">
      <c r="A921" s="22"/>
      <c r="B921" s="635" t="s">
        <v>963</v>
      </c>
      <c r="C921" s="23">
        <v>2</v>
      </c>
      <c r="D921" s="591" t="s">
        <v>893</v>
      </c>
      <c r="E921" s="592" t="s">
        <v>421</v>
      </c>
      <c r="F921" s="593">
        <v>475000</v>
      </c>
      <c r="G921" s="20">
        <f t="shared" si="13"/>
        <v>950000</v>
      </c>
      <c r="H921" s="26"/>
    </row>
    <row r="922" spans="1:8" ht="15.6">
      <c r="A922" s="22"/>
      <c r="B922" s="635" t="s">
        <v>965</v>
      </c>
      <c r="C922" s="23">
        <v>1</v>
      </c>
      <c r="D922" s="591" t="s">
        <v>334</v>
      </c>
      <c r="E922" s="592" t="s">
        <v>421</v>
      </c>
      <c r="F922" s="593">
        <v>35000</v>
      </c>
      <c r="G922" s="20">
        <f t="shared" si="13"/>
        <v>35000</v>
      </c>
      <c r="H922" s="26"/>
    </row>
    <row r="923" spans="1:8" ht="15.6">
      <c r="A923" s="22"/>
      <c r="B923" s="635" t="s">
        <v>985</v>
      </c>
      <c r="C923" s="23">
        <v>2</v>
      </c>
      <c r="D923" s="591" t="s">
        <v>400</v>
      </c>
      <c r="E923" s="592" t="s">
        <v>421</v>
      </c>
      <c r="F923" s="593">
        <v>45000</v>
      </c>
      <c r="G923" s="20">
        <f t="shared" si="13"/>
        <v>90000</v>
      </c>
      <c r="H923" s="26"/>
    </row>
    <row r="924" spans="1:8" ht="15.6">
      <c r="A924" s="611"/>
      <c r="B924" s="612"/>
      <c r="C924" s="613"/>
      <c r="D924" s="614"/>
      <c r="E924" s="615"/>
      <c r="F924" s="616"/>
      <c r="G924" s="617"/>
      <c r="H924" s="618">
        <f>SUM(G911:G923)</f>
        <v>11674476</v>
      </c>
    </row>
    <row r="925" spans="1:8" ht="15.6">
      <c r="A925" s="12" t="s">
        <v>18</v>
      </c>
      <c r="B925" s="594" t="s">
        <v>19</v>
      </c>
      <c r="C925" s="23"/>
      <c r="D925" s="15"/>
      <c r="E925" s="15"/>
      <c r="F925" s="25"/>
      <c r="G925" s="17"/>
      <c r="H925" s="18"/>
    </row>
    <row r="926" spans="1:8" ht="15.6">
      <c r="A926" s="12"/>
      <c r="B926" s="595" t="s">
        <v>966</v>
      </c>
      <c r="C926" s="23">
        <v>2</v>
      </c>
      <c r="D926" s="15" t="s">
        <v>893</v>
      </c>
      <c r="E926" s="15" t="s">
        <v>421</v>
      </c>
      <c r="F926" s="593">
        <v>8183658.7199999997</v>
      </c>
      <c r="G926" s="20">
        <f>F926*C926</f>
        <v>16367317.439999999</v>
      </c>
      <c r="H926" s="18"/>
    </row>
    <row r="927" spans="1:8" ht="15.6">
      <c r="A927" s="12"/>
      <c r="B927" s="595" t="s">
        <v>968</v>
      </c>
      <c r="C927" s="23"/>
      <c r="D927" s="15"/>
      <c r="E927" s="15"/>
      <c r="F927" s="593"/>
      <c r="G927" s="20"/>
      <c r="H927" s="18"/>
    </row>
    <row r="928" spans="1:8" ht="15.6">
      <c r="A928" s="12"/>
      <c r="B928" s="595" t="s">
        <v>967</v>
      </c>
      <c r="C928" s="23"/>
      <c r="D928" s="15"/>
      <c r="E928" s="15"/>
      <c r="F928" s="19"/>
      <c r="G928" s="20"/>
      <c r="H928" s="18"/>
    </row>
    <row r="929" spans="1:256" ht="15.6">
      <c r="A929" s="12"/>
      <c r="B929" s="635" t="s">
        <v>969</v>
      </c>
      <c r="C929" s="23">
        <v>2</v>
      </c>
      <c r="D929" s="592" t="s">
        <v>977</v>
      </c>
      <c r="E929" s="592" t="s">
        <v>410</v>
      </c>
      <c r="F929" s="19">
        <v>150000</v>
      </c>
      <c r="G929" s="20">
        <f t="shared" ref="G929:G935" si="14">F929*C929</f>
        <v>300000</v>
      </c>
      <c r="H929" s="18"/>
    </row>
    <row r="930" spans="1:256" ht="15.6">
      <c r="A930" s="12"/>
      <c r="B930" s="635" t="s">
        <v>970</v>
      </c>
      <c r="C930" s="23">
        <v>4.2</v>
      </c>
      <c r="D930" s="592" t="s">
        <v>978</v>
      </c>
      <c r="E930" s="592" t="s">
        <v>980</v>
      </c>
      <c r="F930" s="19">
        <v>89194.6</v>
      </c>
      <c r="G930" s="20">
        <f t="shared" si="14"/>
        <v>374617.32000000007</v>
      </c>
      <c r="H930" s="18"/>
    </row>
    <row r="931" spans="1:256" ht="15.6">
      <c r="A931" s="12"/>
      <c r="B931" s="635" t="s">
        <v>971</v>
      </c>
      <c r="C931" s="23">
        <v>4.2</v>
      </c>
      <c r="D931" s="592" t="s">
        <v>979</v>
      </c>
      <c r="E931" s="592" t="s">
        <v>981</v>
      </c>
      <c r="F931" s="19">
        <v>29343.360000000001</v>
      </c>
      <c r="G931" s="20">
        <f t="shared" si="14"/>
        <v>123242.11200000001</v>
      </c>
      <c r="H931" s="18"/>
    </row>
    <row r="932" spans="1:256" ht="15.6">
      <c r="A932" s="12"/>
      <c r="B932" s="635" t="s">
        <v>972</v>
      </c>
      <c r="C932" s="23">
        <v>3.6</v>
      </c>
      <c r="D932" s="592" t="s">
        <v>979</v>
      </c>
      <c r="E932" s="592" t="s">
        <v>106</v>
      </c>
      <c r="F932" s="19">
        <v>103981</v>
      </c>
      <c r="G932" s="20">
        <f t="shared" si="14"/>
        <v>374331.60000000003</v>
      </c>
      <c r="H932" s="18"/>
    </row>
    <row r="933" spans="1:256" ht="15.6">
      <c r="A933" s="12"/>
      <c r="B933" s="635" t="s">
        <v>973</v>
      </c>
      <c r="C933" s="23">
        <v>3.6</v>
      </c>
      <c r="D933" s="592" t="s">
        <v>979</v>
      </c>
      <c r="E933" s="592" t="s">
        <v>410</v>
      </c>
      <c r="F933" s="19">
        <v>150000</v>
      </c>
      <c r="G933" s="20">
        <f t="shared" si="14"/>
        <v>540000</v>
      </c>
      <c r="H933" s="18"/>
    </row>
    <row r="934" spans="1:256" ht="15.6">
      <c r="A934" s="12"/>
      <c r="B934" s="635" t="s">
        <v>974</v>
      </c>
      <c r="C934" s="23">
        <v>12</v>
      </c>
      <c r="D934" s="592" t="s">
        <v>978</v>
      </c>
      <c r="E934" s="592" t="s">
        <v>982</v>
      </c>
      <c r="F934" s="19">
        <v>125026.17</v>
      </c>
      <c r="G934" s="20">
        <f t="shared" si="14"/>
        <v>1500314.04</v>
      </c>
      <c r="H934" s="18"/>
    </row>
    <row r="935" spans="1:256" ht="15.6">
      <c r="A935" s="12"/>
      <c r="B935" s="635" t="s">
        <v>975</v>
      </c>
      <c r="C935" s="23">
        <v>2</v>
      </c>
      <c r="D935" s="592" t="s">
        <v>334</v>
      </c>
      <c r="E935" s="592" t="s">
        <v>410</v>
      </c>
      <c r="F935" s="19">
        <v>300000</v>
      </c>
      <c r="G935" s="20">
        <f t="shared" si="14"/>
        <v>600000</v>
      </c>
      <c r="H935" s="18"/>
    </row>
    <row r="936" spans="1:256" ht="15.6">
      <c r="A936" s="12"/>
      <c r="B936" s="595" t="s">
        <v>976</v>
      </c>
      <c r="C936" s="23"/>
      <c r="D936" s="15"/>
      <c r="E936" s="15"/>
      <c r="F936" s="19"/>
      <c r="G936" s="20"/>
      <c r="H936" s="18"/>
    </row>
    <row r="937" spans="1:256" ht="15.6">
      <c r="A937" s="12"/>
      <c r="B937" s="16"/>
      <c r="C937" s="23"/>
      <c r="D937" s="15"/>
      <c r="E937" s="15"/>
      <c r="F937" s="19"/>
      <c r="G937" s="20"/>
      <c r="H937" s="18"/>
    </row>
    <row r="938" spans="1:256" ht="15.6">
      <c r="A938" s="603"/>
      <c r="B938" s="612"/>
      <c r="C938" s="613"/>
      <c r="D938" s="615"/>
      <c r="E938" s="615"/>
      <c r="F938" s="631"/>
      <c r="G938" s="632"/>
      <c r="H938" s="18"/>
    </row>
    <row r="939" spans="1:256" ht="15.6">
      <c r="A939" s="619"/>
      <c r="B939" s="34"/>
      <c r="C939" s="621"/>
      <c r="D939" s="36"/>
      <c r="E939" s="36"/>
      <c r="F939" s="37" t="s">
        <v>25</v>
      </c>
      <c r="G939" s="20">
        <f>SUM(G926:G938)</f>
        <v>20179822.511999998</v>
      </c>
      <c r="H939" s="18"/>
    </row>
    <row r="940" spans="1:256" customFormat="1" ht="15.6">
      <c r="A940" s="619"/>
      <c r="B940" s="34"/>
      <c r="C940" s="621"/>
      <c r="D940" s="36"/>
      <c r="E940" s="36"/>
      <c r="F940" s="630" t="s">
        <v>26</v>
      </c>
      <c r="G940" s="20">
        <f>G939/10</f>
        <v>2017982.2511999998</v>
      </c>
      <c r="H940" s="18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</row>
    <row r="941" spans="1:256" customFormat="1" ht="15.6">
      <c r="A941" s="625"/>
      <c r="B941" s="626"/>
      <c r="C941" s="627"/>
      <c r="D941" s="628"/>
      <c r="E941" s="628"/>
      <c r="F941" s="629"/>
      <c r="G941" s="612"/>
      <c r="H941" s="624">
        <f>SUM(G939:G940)</f>
        <v>22197804.7632</v>
      </c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</row>
    <row r="942" spans="1:256" customFormat="1" ht="16.2" thickBot="1">
      <c r="A942" s="619"/>
      <c r="B942" s="620"/>
      <c r="C942" s="621"/>
      <c r="D942" s="36"/>
      <c r="E942" s="36"/>
      <c r="F942" s="622"/>
      <c r="G942" s="623"/>
      <c r="H942" s="605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</row>
    <row r="943" spans="1:256" customFormat="1" ht="15.6">
      <c r="A943" s="27"/>
      <c r="B943" s="28"/>
      <c r="C943" s="29"/>
      <c r="D943" s="30"/>
      <c r="E943" s="30"/>
      <c r="F943" s="30"/>
      <c r="G943" s="43" t="s">
        <v>28</v>
      </c>
      <c r="H943" s="32">
        <f>SUM(H911:H941)</f>
        <v>33872280.7632</v>
      </c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</row>
    <row r="944" spans="1:256" customFormat="1" ht="16.2" thickBot="1">
      <c r="A944" s="609"/>
      <c r="B944" s="606"/>
      <c r="C944" s="610"/>
      <c r="D944" s="610"/>
      <c r="E944" s="607"/>
      <c r="F944" s="608"/>
      <c r="G944" s="47" t="s">
        <v>30</v>
      </c>
      <c r="H944" s="48">
        <f>ROUND(H943,-2)</f>
        <v>33872300</v>
      </c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</row>
    <row r="945" spans="1:256" customFormat="1" ht="15.6">
      <c r="A945" s="49"/>
      <c r="B945" s="49"/>
      <c r="C945" s="49"/>
      <c r="D945" s="49"/>
      <c r="E945" s="49"/>
      <c r="F945" s="49"/>
      <c r="G945" s="49"/>
      <c r="H945" s="50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</row>
    <row r="946" spans="1:256" customFormat="1" ht="18">
      <c r="A946" s="768" t="s">
        <v>549</v>
      </c>
      <c r="B946" s="49"/>
      <c r="C946" s="49"/>
      <c r="D946" s="49"/>
      <c r="E946" s="49"/>
      <c r="F946" s="49"/>
      <c r="G946" s="49"/>
      <c r="H946" s="50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</row>
    <row r="947" spans="1:256" customFormat="1" ht="18">
      <c r="A947" s="633"/>
      <c r="B947" s="762" t="e">
        <f ca="1">PROPER([1]!terbilang(H944)&amp;" rupiah")</f>
        <v>#NAME?</v>
      </c>
      <c r="C947" s="49"/>
      <c r="D947" s="49"/>
      <c r="E947" s="49"/>
      <c r="F947" s="49"/>
      <c r="G947" s="49"/>
      <c r="H947" s="50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</row>
    <row r="948" spans="1:256" customFormat="1" ht="15.6">
      <c r="A948" s="51"/>
      <c r="B948" s="51"/>
      <c r="C948" s="51"/>
      <c r="D948" s="51"/>
      <c r="E948" s="51"/>
      <c r="F948" s="51"/>
      <c r="G948" s="1509" t="s">
        <v>1148</v>
      </c>
      <c r="H948" s="1509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</row>
    <row r="949" spans="1:256" customFormat="1" ht="15.6">
      <c r="A949" s="1509" t="s">
        <v>31</v>
      </c>
      <c r="B949" s="1509"/>
      <c r="C949" s="1583" t="s">
        <v>914</v>
      </c>
      <c r="D949" s="1509"/>
      <c r="E949" s="1509"/>
      <c r="F949" s="51"/>
      <c r="G949" s="1509" t="s">
        <v>33</v>
      </c>
      <c r="H949" s="1509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</row>
    <row r="950" spans="1:256" customFormat="1" ht="15.6">
      <c r="A950" s="51"/>
      <c r="B950" s="51"/>
      <c r="C950" s="51"/>
      <c r="D950" s="51"/>
      <c r="E950" s="51"/>
      <c r="F950" s="51"/>
      <c r="G950" s="51"/>
      <c r="H950" s="51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</row>
    <row r="951" spans="1:256" customFormat="1" ht="15.6">
      <c r="A951" s="51"/>
      <c r="B951" s="51"/>
      <c r="C951" s="51"/>
      <c r="D951" s="51"/>
      <c r="E951" s="51"/>
      <c r="F951" s="51"/>
      <c r="G951" s="51"/>
      <c r="H951" s="51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</row>
    <row r="952" spans="1:256" customFormat="1" ht="15.6">
      <c r="A952" s="51"/>
      <c r="B952" s="51"/>
      <c r="C952" s="51"/>
      <c r="D952" s="51"/>
      <c r="E952" s="51"/>
      <c r="F952" s="51"/>
      <c r="G952" s="51"/>
      <c r="H952" s="51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</row>
    <row r="953" spans="1:256" customFormat="1" ht="15.6">
      <c r="A953" s="1512" t="s">
        <v>34</v>
      </c>
      <c r="B953" s="1512"/>
      <c r="C953" s="1512" t="s">
        <v>1147</v>
      </c>
      <c r="D953" s="1512"/>
      <c r="E953" s="1512"/>
      <c r="F953" s="51"/>
      <c r="G953" s="1512" t="s">
        <v>36</v>
      </c>
      <c r="H953" s="151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</row>
    <row r="954" spans="1:256" customFormat="1" ht="15.6">
      <c r="A954" s="1509" t="s">
        <v>37</v>
      </c>
      <c r="B954" s="1509"/>
      <c r="C954" s="1509" t="s">
        <v>38</v>
      </c>
      <c r="D954" s="1509"/>
      <c r="E954" s="1509"/>
      <c r="F954" s="51"/>
      <c r="G954" s="1509" t="s">
        <v>39</v>
      </c>
      <c r="H954" s="1509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</row>
    <row r="955" spans="1:256" customFormat="1" ht="14.4">
      <c r="A955" s="5"/>
      <c r="B955" s="5"/>
      <c r="C955" s="5"/>
      <c r="D955" s="5"/>
      <c r="E955" s="5"/>
      <c r="F955" s="6"/>
      <c r="G955" s="5"/>
      <c r="H955" s="5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</row>
    <row r="956" spans="1:256" customFormat="1" ht="14.4">
      <c r="A956" s="1"/>
      <c r="B956" s="1"/>
      <c r="C956" s="1"/>
      <c r="D956" s="1"/>
      <c r="E956" s="1"/>
      <c r="F956" s="1"/>
      <c r="G956" s="1"/>
      <c r="H956" s="1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</row>
    <row r="957" spans="1:256" customFormat="1" ht="14.4">
      <c r="A957" s="1"/>
      <c r="B957" s="1"/>
      <c r="C957" s="1"/>
      <c r="D957" s="1"/>
      <c r="E957" s="1"/>
      <c r="F957" s="1"/>
      <c r="G957" s="1"/>
      <c r="H957" s="1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</row>
    <row r="958" spans="1:256" customFormat="1" ht="14.4">
      <c r="A958" s="1"/>
      <c r="B958" s="1"/>
      <c r="C958" s="1"/>
      <c r="D958" s="1"/>
      <c r="E958" s="1"/>
      <c r="F958" s="1"/>
      <c r="G958" s="1"/>
      <c r="H958" s="1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</row>
    <row r="959" spans="1:256" customFormat="1" ht="14.4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</row>
    <row r="960" spans="1:256" customFormat="1" ht="28.8">
      <c r="A960" s="597"/>
      <c r="B960" s="597"/>
      <c r="C960" s="1622" t="s">
        <v>1048</v>
      </c>
      <c r="D960" s="1622"/>
      <c r="E960" s="1622"/>
      <c r="F960" s="1622"/>
      <c r="G960" s="1622"/>
      <c r="H960" s="162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</row>
    <row r="961" spans="1:256" customFormat="1" ht="25.8">
      <c r="A961" s="598"/>
      <c r="B961" s="1537" t="s">
        <v>1047</v>
      </c>
      <c r="C961" s="1537"/>
      <c r="D961" s="1537"/>
      <c r="E961" s="1537"/>
      <c r="F961" s="1537"/>
      <c r="G961" s="1537"/>
      <c r="H961" s="1537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</row>
    <row r="962" spans="1:256" customFormat="1" ht="25.8">
      <c r="A962" s="598"/>
      <c r="B962" s="598"/>
      <c r="C962" s="1537" t="s">
        <v>936</v>
      </c>
      <c r="D962" s="1537"/>
      <c r="E962" s="1537"/>
      <c r="F962" s="1537"/>
      <c r="G962" s="1537"/>
      <c r="H962" s="1537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</row>
    <row r="963" spans="1:256" customFormat="1" ht="21">
      <c r="A963" s="599"/>
      <c r="B963" s="599"/>
      <c r="C963" s="1536" t="s">
        <v>311</v>
      </c>
      <c r="D963" s="1536"/>
      <c r="E963" s="1536"/>
      <c r="F963" s="1536"/>
      <c r="G963" s="1536"/>
      <c r="H963" s="1536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</row>
    <row r="964" spans="1:256" customFormat="1" ht="14.4">
      <c r="A964" s="7"/>
      <c r="B964" s="7"/>
      <c r="C964" s="7"/>
      <c r="D964" s="7"/>
      <c r="E964" s="7"/>
      <c r="F964" s="7"/>
      <c r="G964" s="7"/>
      <c r="H964" s="7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</row>
    <row r="965" spans="1:256" customFormat="1" ht="15" thickBot="1">
      <c r="A965" s="7"/>
      <c r="B965" s="7"/>
      <c r="C965" s="7"/>
      <c r="D965" s="7"/>
      <c r="E965" s="7"/>
      <c r="F965" s="7"/>
      <c r="G965" s="7"/>
      <c r="H965" s="7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</row>
    <row r="966" spans="1:256" customFormat="1" ht="15.6">
      <c r="A966" s="1538" t="s">
        <v>3</v>
      </c>
      <c r="B966" s="1540" t="s">
        <v>4</v>
      </c>
      <c r="C966" s="1540" t="s">
        <v>5</v>
      </c>
      <c r="D966" s="1540" t="s">
        <v>6</v>
      </c>
      <c r="E966" s="1540" t="s">
        <v>7</v>
      </c>
      <c r="F966" s="8" t="s">
        <v>8</v>
      </c>
      <c r="G966" s="8" t="s">
        <v>9</v>
      </c>
      <c r="H966" s="9" t="s">
        <v>10</v>
      </c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</row>
    <row r="967" spans="1:256" customFormat="1" ht="15.6">
      <c r="A967" s="1539"/>
      <c r="B967" s="1517"/>
      <c r="C967" s="1517"/>
      <c r="D967" s="1517"/>
      <c r="E967" s="1517"/>
      <c r="F967" s="10" t="s">
        <v>11</v>
      </c>
      <c r="G967" s="10" t="s">
        <v>11</v>
      </c>
      <c r="H967" s="11" t="s">
        <v>11</v>
      </c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</row>
    <row r="968" spans="1:256" customFormat="1" ht="15.6">
      <c r="A968" s="12" t="s">
        <v>12</v>
      </c>
      <c r="B968" s="13" t="s">
        <v>13</v>
      </c>
      <c r="C968" s="14"/>
      <c r="D968" s="15"/>
      <c r="E968" s="15"/>
      <c r="F968" s="16"/>
      <c r="G968" s="17"/>
      <c r="H968" s="18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</row>
    <row r="969" spans="1:256" ht="15.6">
      <c r="A969" s="12"/>
      <c r="B969" s="580" t="s">
        <v>918</v>
      </c>
      <c r="C969" s="23">
        <v>2</v>
      </c>
      <c r="D969" s="591" t="s">
        <v>919</v>
      </c>
      <c r="E969" s="15" t="s">
        <v>408</v>
      </c>
      <c r="F969" s="593">
        <v>132000</v>
      </c>
      <c r="G969" s="20">
        <f>F969*C969</f>
        <v>264000</v>
      </c>
      <c r="H969" s="21"/>
    </row>
    <row r="970" spans="1:256" ht="15.6">
      <c r="A970" s="22"/>
      <c r="B970" s="580" t="s">
        <v>917</v>
      </c>
      <c r="C970" s="23">
        <v>48</v>
      </c>
      <c r="D970" s="591" t="s">
        <v>893</v>
      </c>
      <c r="E970" s="592" t="s">
        <v>421</v>
      </c>
      <c r="F970" s="593">
        <v>4300</v>
      </c>
      <c r="G970" s="20">
        <f>F970*C970</f>
        <v>206400</v>
      </c>
      <c r="H970" s="26"/>
    </row>
    <row r="971" spans="1:256" ht="18" customHeight="1">
      <c r="A971" s="22"/>
      <c r="B971" s="580"/>
      <c r="C971" s="23"/>
      <c r="D971" s="591"/>
      <c r="E971" s="592"/>
      <c r="F971" s="593"/>
      <c r="G971" s="20"/>
      <c r="H971" s="26"/>
    </row>
    <row r="972" spans="1:256" ht="18" customHeight="1">
      <c r="A972" s="611"/>
      <c r="B972" s="612"/>
      <c r="C972" s="613"/>
      <c r="D972" s="614"/>
      <c r="E972" s="615"/>
      <c r="F972" s="616"/>
      <c r="G972" s="617"/>
      <c r="H972" s="618">
        <f>SUM(G969:G971)</f>
        <v>470400</v>
      </c>
    </row>
    <row r="973" spans="1:256" ht="18" customHeight="1">
      <c r="A973" s="12" t="s">
        <v>18</v>
      </c>
      <c r="B973" s="594" t="s">
        <v>19</v>
      </c>
      <c r="C973" s="23"/>
      <c r="D973" s="15"/>
      <c r="E973" s="15"/>
      <c r="F973" s="25"/>
      <c r="G973" s="17"/>
      <c r="H973" s="18"/>
    </row>
    <row r="974" spans="1:256" ht="15.6">
      <c r="A974" s="12"/>
      <c r="B974" s="595" t="s">
        <v>937</v>
      </c>
      <c r="C974" s="23">
        <v>2</v>
      </c>
      <c r="D974" s="15" t="s">
        <v>893</v>
      </c>
      <c r="E974" s="15" t="s">
        <v>421</v>
      </c>
      <c r="F974" s="593">
        <v>750000</v>
      </c>
      <c r="G974" s="20">
        <f>F974*C974</f>
        <v>1500000</v>
      </c>
      <c r="H974" s="18"/>
    </row>
    <row r="975" spans="1:256" ht="15.6">
      <c r="A975" s="12"/>
      <c r="B975" s="595" t="s">
        <v>938</v>
      </c>
      <c r="C975" s="23"/>
      <c r="D975" s="15"/>
      <c r="E975" s="15"/>
      <c r="F975" s="593"/>
      <c r="G975" s="20"/>
      <c r="H975" s="18"/>
    </row>
    <row r="976" spans="1:256" ht="18" customHeight="1">
      <c r="A976" s="12"/>
      <c r="B976" s="595" t="s">
        <v>939</v>
      </c>
      <c r="C976" s="23"/>
      <c r="D976" s="15"/>
      <c r="E976" s="15"/>
      <c r="F976" s="593"/>
      <c r="G976" s="20"/>
      <c r="H976" s="18"/>
    </row>
    <row r="977" spans="1:11" ht="18" customHeight="1">
      <c r="A977" s="12"/>
      <c r="B977" s="16" t="s">
        <v>947</v>
      </c>
      <c r="C977" s="23">
        <v>2</v>
      </c>
      <c r="D977" s="15" t="s">
        <v>893</v>
      </c>
      <c r="E977" s="15" t="s">
        <v>421</v>
      </c>
      <c r="F977" s="19">
        <v>2000000</v>
      </c>
      <c r="G977" s="20">
        <f>F977*C977</f>
        <v>4000000</v>
      </c>
      <c r="H977" s="18"/>
    </row>
    <row r="978" spans="1:11" ht="18" customHeight="1">
      <c r="A978" s="12"/>
      <c r="B978" s="16" t="s">
        <v>940</v>
      </c>
      <c r="C978" s="23"/>
      <c r="D978" s="15"/>
      <c r="E978" s="15"/>
      <c r="F978" s="19"/>
      <c r="G978" s="20"/>
      <c r="H978" s="18"/>
    </row>
    <row r="979" spans="1:11" ht="18" customHeight="1">
      <c r="A979" s="12"/>
      <c r="B979" s="16" t="s">
        <v>941</v>
      </c>
      <c r="C979" s="23"/>
      <c r="D979" s="15"/>
      <c r="E979" s="15"/>
      <c r="F979" s="19"/>
      <c r="G979" s="20"/>
      <c r="H979" s="18"/>
    </row>
    <row r="980" spans="1:11" ht="18" customHeight="1">
      <c r="A980" s="12"/>
      <c r="B980" s="16" t="s">
        <v>942</v>
      </c>
      <c r="C980" s="23">
        <v>2</v>
      </c>
      <c r="D980" s="15" t="s">
        <v>893</v>
      </c>
      <c r="E980" s="15" t="s">
        <v>421</v>
      </c>
      <c r="F980" s="19">
        <v>3000000</v>
      </c>
      <c r="G980" s="20">
        <f>F980*C980</f>
        <v>6000000</v>
      </c>
      <c r="H980" s="18"/>
    </row>
    <row r="981" spans="1:11" ht="18" customHeight="1">
      <c r="A981" s="12"/>
      <c r="B981" s="16" t="s">
        <v>943</v>
      </c>
      <c r="C981" s="23"/>
      <c r="D981" s="15"/>
      <c r="E981" s="15"/>
      <c r="F981" s="19"/>
      <c r="G981" s="20"/>
      <c r="H981" s="18"/>
    </row>
    <row r="982" spans="1:11" ht="18" customHeight="1">
      <c r="A982" s="12"/>
      <c r="B982" s="580" t="s">
        <v>944</v>
      </c>
      <c r="C982" s="23">
        <v>2</v>
      </c>
      <c r="D982" s="15" t="s">
        <v>893</v>
      </c>
      <c r="E982" s="15" t="s">
        <v>421</v>
      </c>
      <c r="F982" s="19">
        <v>1000000</v>
      </c>
      <c r="G982" s="20">
        <f>F982*C982</f>
        <v>2000000</v>
      </c>
      <c r="H982" s="18"/>
    </row>
    <row r="983" spans="1:11" ht="18" customHeight="1">
      <c r="A983" s="12"/>
      <c r="B983" s="580" t="s">
        <v>945</v>
      </c>
      <c r="C983" s="23">
        <v>2</v>
      </c>
      <c r="D983" s="15" t="s">
        <v>893</v>
      </c>
      <c r="E983" s="15" t="s">
        <v>408</v>
      </c>
      <c r="F983" s="19">
        <v>1445499</v>
      </c>
      <c r="G983" s="20">
        <f>F983*C983</f>
        <v>2890998</v>
      </c>
      <c r="H983" s="18"/>
    </row>
    <row r="984" spans="1:11" ht="18" customHeight="1">
      <c r="A984" s="12"/>
      <c r="B984" s="580" t="s">
        <v>946</v>
      </c>
      <c r="C984" s="23">
        <v>2</v>
      </c>
      <c r="D984" s="15" t="s">
        <v>893</v>
      </c>
      <c r="E984" s="15" t="s">
        <v>408</v>
      </c>
      <c r="F984" s="19">
        <v>295875</v>
      </c>
      <c r="G984" s="20">
        <f>F984*C984</f>
        <v>591750</v>
      </c>
      <c r="H984" s="18"/>
    </row>
    <row r="985" spans="1:11" ht="18" customHeight="1">
      <c r="A985" s="12"/>
      <c r="B985" s="16"/>
      <c r="C985" s="23"/>
      <c r="D985" s="15"/>
      <c r="E985" s="15"/>
      <c r="F985" s="19"/>
      <c r="G985" s="20"/>
      <c r="H985" s="18"/>
    </row>
    <row r="986" spans="1:11" ht="18" customHeight="1">
      <c r="A986" s="12"/>
      <c r="B986" s="16"/>
      <c r="C986" s="23"/>
      <c r="D986" s="15"/>
      <c r="E986" s="15"/>
      <c r="F986" s="19"/>
      <c r="G986" s="20"/>
      <c r="H986" s="18"/>
    </row>
    <row r="987" spans="1:11" ht="18" customHeight="1">
      <c r="A987" s="603"/>
      <c r="B987" s="612"/>
      <c r="C987" s="613"/>
      <c r="D987" s="615"/>
      <c r="E987" s="615"/>
      <c r="F987" s="631"/>
      <c r="G987" s="632"/>
      <c r="H987" s="18"/>
    </row>
    <row r="988" spans="1:11" ht="18" customHeight="1">
      <c r="A988" s="619"/>
      <c r="B988" s="34"/>
      <c r="C988" s="621"/>
      <c r="D988" s="36"/>
      <c r="E988" s="36"/>
      <c r="F988" s="37" t="s">
        <v>25</v>
      </c>
      <c r="G988" s="20">
        <f>SUM(G974:G987)</f>
        <v>16982748</v>
      </c>
      <c r="H988" s="18"/>
      <c r="K988" s="1">
        <f>1300*3200.16</f>
        <v>4160208</v>
      </c>
    </row>
    <row r="989" spans="1:11" ht="18" customHeight="1">
      <c r="A989" s="619"/>
      <c r="B989" s="34"/>
      <c r="C989" s="621"/>
      <c r="D989" s="36"/>
      <c r="E989" s="36"/>
      <c r="F989" s="630" t="s">
        <v>26</v>
      </c>
      <c r="G989" s="20">
        <f>G988/10</f>
        <v>1698274.8</v>
      </c>
      <c r="H989" s="18"/>
    </row>
    <row r="990" spans="1:11" s="2" customFormat="1" ht="18" customHeight="1">
      <c r="A990" s="625"/>
      <c r="B990" s="626"/>
      <c r="C990" s="627"/>
      <c r="D990" s="628"/>
      <c r="E990" s="628"/>
      <c r="F990" s="629"/>
      <c r="G990" s="612"/>
      <c r="H990" s="624">
        <f>SUM(G988:G989)</f>
        <v>18681022.800000001</v>
      </c>
    </row>
    <row r="991" spans="1:11" s="2" customFormat="1" ht="18" customHeight="1" thickBot="1">
      <c r="A991" s="619"/>
      <c r="B991" s="620"/>
      <c r="C991" s="621"/>
      <c r="D991" s="36"/>
      <c r="E991" s="36"/>
      <c r="F991" s="622"/>
      <c r="G991" s="623"/>
      <c r="H991" s="605"/>
    </row>
    <row r="992" spans="1:11" s="2" customFormat="1" ht="18" customHeight="1">
      <c r="A992" s="27"/>
      <c r="B992" s="28"/>
      <c r="C992" s="29"/>
      <c r="D992" s="30"/>
      <c r="E992" s="30"/>
      <c r="F992" s="30"/>
      <c r="G992" s="43" t="s">
        <v>28</v>
      </c>
      <c r="H992" s="32">
        <f>SUM(H969:H990)</f>
        <v>19151422.800000001</v>
      </c>
    </row>
    <row r="993" spans="1:8" s="2" customFormat="1" ht="18" customHeight="1" thickBot="1">
      <c r="A993" s="609"/>
      <c r="B993" s="606"/>
      <c r="C993" s="610"/>
      <c r="D993" s="610"/>
      <c r="E993" s="607"/>
      <c r="F993" s="608"/>
      <c r="G993" s="47" t="s">
        <v>30</v>
      </c>
      <c r="H993" s="48">
        <f>ROUND(H992,-2)</f>
        <v>19151400</v>
      </c>
    </row>
    <row r="994" spans="1:8" s="2" customFormat="1" ht="18" customHeight="1">
      <c r="A994" s="49"/>
      <c r="B994" s="49"/>
      <c r="C994" s="49"/>
      <c r="D994" s="49"/>
      <c r="E994" s="49"/>
      <c r="F994" s="49"/>
      <c r="G994" s="49"/>
      <c r="H994" s="50"/>
    </row>
    <row r="995" spans="1:8" s="2" customFormat="1" ht="18" customHeight="1">
      <c r="A995" s="633" t="s">
        <v>1072</v>
      </c>
      <c r="B995" s="49"/>
      <c r="C995" s="49"/>
      <c r="D995" s="49"/>
      <c r="E995" s="49"/>
      <c r="F995" s="49"/>
      <c r="G995" s="49"/>
      <c r="H995" s="50"/>
    </row>
    <row r="996" spans="1:8" ht="18" customHeight="1">
      <c r="A996" s="51"/>
      <c r="B996" s="51"/>
      <c r="C996" s="51"/>
      <c r="D996" s="51"/>
      <c r="E996" s="51"/>
      <c r="F996" s="51"/>
      <c r="G996" s="604"/>
      <c r="H996" s="602"/>
    </row>
    <row r="997" spans="1:8" ht="18" customHeight="1">
      <c r="A997" s="51"/>
      <c r="B997" s="51"/>
      <c r="C997" s="51"/>
      <c r="D997" s="51"/>
      <c r="E997" s="51"/>
      <c r="F997" s="51"/>
      <c r="G997" s="1583" t="s">
        <v>1032</v>
      </c>
      <c r="H997" s="1509"/>
    </row>
    <row r="998" spans="1:8" ht="18" customHeight="1">
      <c r="A998" s="1509" t="s">
        <v>31</v>
      </c>
      <c r="B998" s="1509"/>
      <c r="C998" s="1583" t="s">
        <v>914</v>
      </c>
      <c r="D998" s="1509"/>
      <c r="E998" s="1509"/>
      <c r="F998" s="51"/>
      <c r="G998" s="1509" t="s">
        <v>33</v>
      </c>
      <c r="H998" s="1509"/>
    </row>
    <row r="999" spans="1:8" ht="18" customHeight="1">
      <c r="A999" s="51"/>
      <c r="B999" s="51"/>
      <c r="C999" s="51"/>
      <c r="D999" s="51"/>
      <c r="E999" s="51"/>
      <c r="F999" s="51"/>
      <c r="G999" s="51"/>
      <c r="H999" s="51"/>
    </row>
    <row r="1000" spans="1:8" ht="18" customHeight="1">
      <c r="A1000" s="51"/>
      <c r="B1000" s="51"/>
      <c r="C1000" s="51"/>
      <c r="D1000" s="51"/>
      <c r="E1000" s="51"/>
      <c r="F1000" s="51"/>
      <c r="G1000" s="51"/>
      <c r="H1000" s="51"/>
    </row>
    <row r="1001" spans="1:8" ht="15.6">
      <c r="A1001" s="51"/>
      <c r="B1001" s="51"/>
      <c r="C1001" s="51"/>
      <c r="D1001" s="51"/>
      <c r="E1001" s="51"/>
      <c r="F1001" s="51"/>
      <c r="G1001" s="51"/>
      <c r="H1001" s="51"/>
    </row>
    <row r="1002" spans="1:8" ht="15.6">
      <c r="A1002" s="1512" t="s">
        <v>34</v>
      </c>
      <c r="B1002" s="1512"/>
      <c r="C1002" s="1512" t="s">
        <v>35</v>
      </c>
      <c r="D1002" s="1512"/>
      <c r="E1002" s="1512"/>
      <c r="F1002" s="51"/>
      <c r="G1002" s="1512" t="s">
        <v>36</v>
      </c>
      <c r="H1002" s="1512"/>
    </row>
    <row r="1003" spans="1:8" ht="15.6">
      <c r="A1003" s="1509" t="s">
        <v>37</v>
      </c>
      <c r="B1003" s="1509"/>
      <c r="C1003" s="1509" t="s">
        <v>38</v>
      </c>
      <c r="D1003" s="1509"/>
      <c r="E1003" s="1509"/>
      <c r="F1003" s="51"/>
      <c r="G1003" s="1509" t="s">
        <v>39</v>
      </c>
      <c r="H1003" s="1509"/>
    </row>
    <row r="1004" spans="1:8">
      <c r="A1004" s="5"/>
      <c r="B1004" s="5"/>
      <c r="C1004" s="5"/>
      <c r="D1004" s="5"/>
      <c r="E1004" s="5"/>
      <c r="F1004" s="6"/>
      <c r="G1004" s="5"/>
      <c r="H1004" s="5"/>
    </row>
    <row r="1009" spans="1:8">
      <c r="A1009" s="2"/>
      <c r="B1009" s="2"/>
      <c r="C1009" s="2"/>
      <c r="D1009" s="2"/>
      <c r="E1009" s="2"/>
      <c r="F1009" s="2"/>
      <c r="G1009" s="2"/>
      <c r="H1009" s="2"/>
    </row>
    <row r="1010" spans="1:8" ht="28.8">
      <c r="A1010" s="597"/>
      <c r="B1010" s="597"/>
      <c r="C1010" s="1513" t="s">
        <v>235</v>
      </c>
      <c r="D1010" s="1513"/>
      <c r="E1010" s="1513"/>
      <c r="F1010" s="1513"/>
      <c r="G1010" s="1513"/>
      <c r="H1010" s="1513"/>
    </row>
    <row r="1011" spans="1:8" ht="25.8">
      <c r="A1011" s="598"/>
      <c r="B1011" s="598"/>
      <c r="C1011" s="1537" t="s">
        <v>935</v>
      </c>
      <c r="D1011" s="1537"/>
      <c r="E1011" s="1537"/>
      <c r="F1011" s="1537"/>
      <c r="G1011" s="1537"/>
      <c r="H1011" s="1537"/>
    </row>
    <row r="1012" spans="1:8" ht="21">
      <c r="A1012" s="599"/>
      <c r="B1012" s="599"/>
      <c r="C1012" s="1536" t="s">
        <v>889</v>
      </c>
      <c r="D1012" s="1536"/>
      <c r="E1012" s="1536"/>
      <c r="F1012" s="1536"/>
      <c r="G1012" s="1536"/>
      <c r="H1012" s="1536"/>
    </row>
    <row r="1013" spans="1:8">
      <c r="A1013" s="7"/>
      <c r="B1013" s="7"/>
      <c r="C1013" s="7"/>
      <c r="D1013" s="7"/>
      <c r="E1013" s="7"/>
      <c r="F1013" s="7"/>
      <c r="G1013" s="7"/>
      <c r="H1013" s="7"/>
    </row>
    <row r="1014" spans="1:8" ht="12.6" thickBot="1">
      <c r="A1014" s="7"/>
      <c r="B1014" s="7"/>
      <c r="C1014" s="7"/>
      <c r="D1014" s="7"/>
      <c r="E1014" s="7"/>
      <c r="F1014" s="7"/>
      <c r="G1014" s="7"/>
      <c r="H1014" s="7"/>
    </row>
    <row r="1015" spans="1:8" ht="15.6">
      <c r="A1015" s="1538" t="s">
        <v>3</v>
      </c>
      <c r="B1015" s="1540" t="s">
        <v>4</v>
      </c>
      <c r="C1015" s="1540" t="s">
        <v>5</v>
      </c>
      <c r="D1015" s="1540" t="s">
        <v>6</v>
      </c>
      <c r="E1015" s="1540" t="s">
        <v>7</v>
      </c>
      <c r="F1015" s="8" t="s">
        <v>8</v>
      </c>
      <c r="G1015" s="8" t="s">
        <v>9</v>
      </c>
      <c r="H1015" s="9" t="s">
        <v>10</v>
      </c>
    </row>
    <row r="1016" spans="1:8" ht="18" customHeight="1">
      <c r="A1016" s="1539"/>
      <c r="B1016" s="1517"/>
      <c r="C1016" s="1517"/>
      <c r="D1016" s="1517"/>
      <c r="E1016" s="1517"/>
      <c r="F1016" s="10" t="s">
        <v>11</v>
      </c>
      <c r="G1016" s="10" t="s">
        <v>11</v>
      </c>
      <c r="H1016" s="11" t="s">
        <v>11</v>
      </c>
    </row>
    <row r="1017" spans="1:8" ht="18" customHeight="1">
      <c r="A1017" s="12" t="s">
        <v>12</v>
      </c>
      <c r="B1017" s="13" t="s">
        <v>13</v>
      </c>
      <c r="C1017" s="14"/>
      <c r="D1017" s="15"/>
      <c r="E1017" s="15"/>
      <c r="F1017" s="16"/>
      <c r="G1017" s="17"/>
      <c r="H1017" s="18"/>
    </row>
    <row r="1018" spans="1:8" ht="18" customHeight="1">
      <c r="A1018" s="12"/>
      <c r="B1018" s="580" t="s">
        <v>916</v>
      </c>
      <c r="C1018" s="23">
        <v>1</v>
      </c>
      <c r="D1018" s="15" t="s">
        <v>893</v>
      </c>
      <c r="E1018" s="15" t="s">
        <v>421</v>
      </c>
      <c r="F1018" s="593">
        <v>4350500</v>
      </c>
      <c r="G1018" s="20">
        <f>F1018*C1018</f>
        <v>4350500</v>
      </c>
      <c r="H1018" s="21"/>
    </row>
    <row r="1019" spans="1:8" ht="18" customHeight="1">
      <c r="A1019" s="22"/>
      <c r="B1019" s="580" t="s">
        <v>917</v>
      </c>
      <c r="C1019" s="23">
        <v>24</v>
      </c>
      <c r="D1019" s="591" t="s">
        <v>893</v>
      </c>
      <c r="E1019" s="592" t="s">
        <v>408</v>
      </c>
      <c r="F1019" s="593">
        <v>4300</v>
      </c>
      <c r="G1019" s="20">
        <f>F1019*C1019</f>
        <v>103200</v>
      </c>
      <c r="H1019" s="26"/>
    </row>
    <row r="1020" spans="1:8" ht="18" customHeight="1">
      <c r="A1020" s="22"/>
      <c r="B1020" s="580" t="s">
        <v>918</v>
      </c>
      <c r="C1020" s="23">
        <v>1</v>
      </c>
      <c r="D1020" s="591" t="s">
        <v>919</v>
      </c>
      <c r="E1020" s="592" t="s">
        <v>408</v>
      </c>
      <c r="F1020" s="593">
        <v>132000</v>
      </c>
      <c r="G1020" s="20">
        <f>F1020*C1020</f>
        <v>132000</v>
      </c>
      <c r="H1020" s="26"/>
    </row>
    <row r="1021" spans="1:8" ht="18" customHeight="1">
      <c r="A1021" s="611"/>
      <c r="B1021" s="612"/>
      <c r="C1021" s="613"/>
      <c r="D1021" s="614"/>
      <c r="E1021" s="615"/>
      <c r="F1021" s="616"/>
      <c r="G1021" s="617"/>
      <c r="H1021" s="618">
        <f>SUM(G1018:G1020)</f>
        <v>4585700</v>
      </c>
    </row>
    <row r="1022" spans="1:8" ht="18" customHeight="1">
      <c r="A1022" s="12" t="s">
        <v>18</v>
      </c>
      <c r="B1022" s="594" t="s">
        <v>19</v>
      </c>
      <c r="C1022" s="23"/>
      <c r="D1022" s="15"/>
      <c r="E1022" s="15"/>
      <c r="F1022" s="25"/>
      <c r="G1022" s="17"/>
      <c r="H1022" s="18"/>
    </row>
    <row r="1023" spans="1:8" ht="18" customHeight="1">
      <c r="A1023" s="12"/>
      <c r="B1023" s="595" t="s">
        <v>923</v>
      </c>
      <c r="C1023" s="23">
        <v>1</v>
      </c>
      <c r="D1023" s="15" t="s">
        <v>893</v>
      </c>
      <c r="E1023" s="15" t="s">
        <v>408</v>
      </c>
      <c r="F1023" s="593">
        <v>432570</v>
      </c>
      <c r="G1023" s="20">
        <f>F1023*C1023</f>
        <v>432570</v>
      </c>
      <c r="H1023" s="18"/>
    </row>
    <row r="1024" spans="1:8" ht="18" customHeight="1">
      <c r="A1024" s="12"/>
      <c r="B1024" s="16" t="s">
        <v>920</v>
      </c>
      <c r="C1024" s="23">
        <v>1</v>
      </c>
      <c r="D1024" s="15" t="s">
        <v>893</v>
      </c>
      <c r="E1024" s="15" t="s">
        <v>408</v>
      </c>
      <c r="F1024" s="19">
        <v>282240</v>
      </c>
      <c r="G1024" s="20">
        <f>F1024*C1024</f>
        <v>282240</v>
      </c>
      <c r="H1024" s="18"/>
    </row>
    <row r="1025" spans="1:8" ht="18" customHeight="1">
      <c r="A1025" s="12"/>
      <c r="B1025" s="16" t="s">
        <v>921</v>
      </c>
      <c r="C1025" s="23">
        <v>1.64</v>
      </c>
      <c r="D1025" s="15" t="s">
        <v>919</v>
      </c>
      <c r="E1025" s="15" t="s">
        <v>421</v>
      </c>
      <c r="F1025" s="19">
        <v>208047.9</v>
      </c>
      <c r="G1025" s="20">
        <f>F1025*C1025</f>
        <v>341198.55599999998</v>
      </c>
      <c r="H1025" s="18"/>
    </row>
    <row r="1026" spans="1:8" ht="18" customHeight="1">
      <c r="A1026" s="12"/>
      <c r="B1026" s="16" t="s">
        <v>922</v>
      </c>
      <c r="C1026" s="23">
        <v>1.64</v>
      </c>
      <c r="D1026" s="15" t="s">
        <v>919</v>
      </c>
      <c r="E1026" s="15" t="s">
        <v>421</v>
      </c>
      <c r="F1026" s="19">
        <v>66707.039999999994</v>
      </c>
      <c r="G1026" s="20">
        <f>F1026*C1026</f>
        <v>109399.54559999998</v>
      </c>
      <c r="H1026" s="18"/>
    </row>
    <row r="1027" spans="1:8" ht="18" customHeight="1">
      <c r="A1027" s="603"/>
      <c r="B1027" s="612" t="s">
        <v>924</v>
      </c>
      <c r="C1027" s="613">
        <v>1</v>
      </c>
      <c r="D1027" s="615" t="s">
        <v>893</v>
      </c>
      <c r="E1027" s="615" t="s">
        <v>408</v>
      </c>
      <c r="F1027" s="631">
        <v>432570</v>
      </c>
      <c r="G1027" s="632">
        <f>F1027*C1027</f>
        <v>432570</v>
      </c>
      <c r="H1027" s="18"/>
    </row>
    <row r="1028" spans="1:8" ht="18" customHeight="1">
      <c r="A1028" s="619"/>
      <c r="B1028" s="34"/>
      <c r="C1028" s="621"/>
      <c r="D1028" s="36"/>
      <c r="E1028" s="36"/>
      <c r="F1028" s="37" t="s">
        <v>25</v>
      </c>
      <c r="G1028" s="20">
        <f>SUM(G1023:G1027)</f>
        <v>1597978.1015999999</v>
      </c>
      <c r="H1028" s="18"/>
    </row>
    <row r="1029" spans="1:8" ht="18" customHeight="1">
      <c r="A1029" s="619"/>
      <c r="B1029" s="34"/>
      <c r="C1029" s="621"/>
      <c r="D1029" s="36"/>
      <c r="E1029" s="36"/>
      <c r="F1029" s="630" t="s">
        <v>26</v>
      </c>
      <c r="G1029" s="20"/>
      <c r="H1029" s="18"/>
    </row>
    <row r="1030" spans="1:8" ht="18" customHeight="1">
      <c r="A1030" s="625"/>
      <c r="B1030" s="626"/>
      <c r="C1030" s="627"/>
      <c r="D1030" s="628"/>
      <c r="E1030" s="628"/>
      <c r="F1030" s="629"/>
      <c r="G1030" s="612"/>
      <c r="H1030" s="624">
        <f>SUM(G1028:G1029)</f>
        <v>1597978.1015999999</v>
      </c>
    </row>
    <row r="1031" spans="1:8" ht="18" customHeight="1" thickBot="1">
      <c r="A1031" s="619"/>
      <c r="B1031" s="620"/>
      <c r="C1031" s="621"/>
      <c r="D1031" s="36"/>
      <c r="E1031" s="36"/>
      <c r="F1031" s="622"/>
      <c r="G1031" s="623"/>
      <c r="H1031" s="605"/>
    </row>
    <row r="1032" spans="1:8" ht="18" customHeight="1">
      <c r="A1032" s="27"/>
      <c r="B1032" s="28"/>
      <c r="C1032" s="29"/>
      <c r="D1032" s="30"/>
      <c r="E1032" s="30"/>
      <c r="F1032" s="30"/>
      <c r="G1032" s="43" t="s">
        <v>28</v>
      </c>
      <c r="H1032" s="32">
        <f>SUM(H1018:H1030)</f>
        <v>6183678.1015999997</v>
      </c>
    </row>
    <row r="1033" spans="1:8" ht="18" customHeight="1" thickBot="1">
      <c r="A1033" s="609"/>
      <c r="B1033" s="606"/>
      <c r="C1033" s="610"/>
      <c r="D1033" s="610"/>
      <c r="E1033" s="607"/>
      <c r="F1033" s="608"/>
      <c r="G1033" s="47" t="s">
        <v>30</v>
      </c>
      <c r="H1033" s="48">
        <f>ROUND(H1032,-2)</f>
        <v>6183700</v>
      </c>
    </row>
    <row r="1034" spans="1:8" ht="18" customHeight="1">
      <c r="A1034" s="49"/>
      <c r="B1034" s="49"/>
      <c r="C1034" s="49"/>
      <c r="D1034" s="49"/>
      <c r="E1034" s="49"/>
      <c r="F1034" s="49"/>
      <c r="G1034" s="49"/>
      <c r="H1034" s="50"/>
    </row>
    <row r="1035" spans="1:8" ht="18" customHeight="1">
      <c r="A1035" s="633" t="s">
        <v>983</v>
      </c>
      <c r="B1035" s="49"/>
      <c r="C1035" s="49"/>
      <c r="D1035" s="49"/>
      <c r="E1035" s="49"/>
      <c r="F1035" s="49"/>
      <c r="G1035" s="49"/>
      <c r="H1035" s="50"/>
    </row>
    <row r="1036" spans="1:8" ht="15.6">
      <c r="A1036" s="51"/>
      <c r="B1036" s="51"/>
      <c r="C1036" s="51"/>
      <c r="D1036" s="51"/>
      <c r="E1036" s="51"/>
      <c r="F1036" s="51"/>
      <c r="G1036" s="604"/>
      <c r="H1036" s="602"/>
    </row>
    <row r="1037" spans="1:8" ht="15.6">
      <c r="A1037" s="51"/>
      <c r="B1037" s="51"/>
      <c r="C1037" s="51"/>
      <c r="D1037" s="51"/>
      <c r="E1037" s="51"/>
      <c r="F1037" s="51"/>
      <c r="G1037" s="1583" t="s">
        <v>951</v>
      </c>
      <c r="H1037" s="1509"/>
    </row>
    <row r="1038" spans="1:8" ht="15.6">
      <c r="A1038" s="1509" t="s">
        <v>31</v>
      </c>
      <c r="B1038" s="1509"/>
      <c r="C1038" s="1583" t="s">
        <v>914</v>
      </c>
      <c r="D1038" s="1509"/>
      <c r="E1038" s="1509"/>
      <c r="F1038" s="51"/>
      <c r="G1038" s="1509" t="s">
        <v>33</v>
      </c>
      <c r="H1038" s="1509"/>
    </row>
    <row r="1039" spans="1:8" ht="15.6">
      <c r="A1039" s="51"/>
      <c r="B1039" s="51"/>
      <c r="C1039" s="51"/>
      <c r="D1039" s="51"/>
      <c r="E1039" s="51"/>
      <c r="F1039" s="51"/>
      <c r="G1039" s="51"/>
      <c r="H1039" s="51"/>
    </row>
    <row r="1040" spans="1:8" ht="15.6">
      <c r="A1040" s="51"/>
      <c r="B1040" s="51"/>
      <c r="C1040" s="51"/>
      <c r="D1040" s="51"/>
      <c r="E1040" s="51"/>
      <c r="F1040" s="51"/>
      <c r="G1040" s="51"/>
      <c r="H1040" s="51"/>
    </row>
    <row r="1041" spans="1:8" ht="15.6">
      <c r="A1041" s="51"/>
      <c r="B1041" s="51"/>
      <c r="C1041" s="51"/>
      <c r="D1041" s="51"/>
      <c r="E1041" s="51"/>
      <c r="F1041" s="51"/>
      <c r="G1041" s="51"/>
      <c r="H1041" s="51"/>
    </row>
    <row r="1042" spans="1:8" ht="15.6">
      <c r="A1042" s="1512" t="s">
        <v>34</v>
      </c>
      <c r="B1042" s="1512"/>
      <c r="C1042" s="1512" t="s">
        <v>35</v>
      </c>
      <c r="D1042" s="1512"/>
      <c r="E1042" s="1512"/>
      <c r="F1042" s="51"/>
      <c r="G1042" s="1512" t="s">
        <v>36</v>
      </c>
      <c r="H1042" s="1512"/>
    </row>
    <row r="1043" spans="1:8" ht="15.6">
      <c r="A1043" s="1509" t="s">
        <v>37</v>
      </c>
      <c r="B1043" s="1509"/>
      <c r="C1043" s="1509" t="s">
        <v>38</v>
      </c>
      <c r="D1043" s="1509"/>
      <c r="E1043" s="1509"/>
      <c r="F1043" s="51"/>
      <c r="G1043" s="1509" t="s">
        <v>39</v>
      </c>
      <c r="H1043" s="1509"/>
    </row>
    <row r="1044" spans="1:8" s="2" customFormat="1">
      <c r="A1044" s="5"/>
      <c r="B1044" s="5"/>
      <c r="C1044" s="5"/>
      <c r="D1044" s="5"/>
      <c r="E1044" s="5"/>
      <c r="F1044" s="6"/>
      <c r="G1044" s="5"/>
      <c r="H1044" s="5"/>
    </row>
    <row r="1045" spans="1:8" s="2" customFormat="1">
      <c r="A1045" s="1"/>
      <c r="B1045" s="1"/>
      <c r="C1045" s="1"/>
      <c r="D1045" s="1"/>
      <c r="E1045" s="1"/>
      <c r="F1045" s="1"/>
      <c r="G1045" s="1"/>
      <c r="H1045" s="1"/>
    </row>
    <row r="1046" spans="1:8" s="2" customFormat="1">
      <c r="A1046" s="1"/>
      <c r="B1046" s="1"/>
      <c r="C1046" s="1"/>
      <c r="D1046" s="1"/>
      <c r="E1046" s="1"/>
      <c r="F1046" s="1"/>
      <c r="G1046" s="1"/>
      <c r="H1046" s="1"/>
    </row>
    <row r="1047" spans="1:8" s="2" customFormat="1">
      <c r="A1047" s="1"/>
      <c r="B1047" s="1"/>
      <c r="C1047" s="1"/>
      <c r="D1047" s="1"/>
      <c r="E1047" s="1"/>
      <c r="F1047" s="1"/>
      <c r="G1047" s="1"/>
      <c r="H1047" s="1"/>
    </row>
    <row r="1054" spans="1:8">
      <c r="A1054" s="2"/>
      <c r="B1054" s="2"/>
      <c r="C1054" s="2"/>
      <c r="D1054" s="2"/>
      <c r="E1054" s="2"/>
      <c r="F1054" s="2"/>
      <c r="G1054" s="2"/>
      <c r="H1054" s="2"/>
    </row>
    <row r="1055" spans="1:8" ht="28.8">
      <c r="A1055" s="597"/>
      <c r="B1055" s="597"/>
      <c r="C1055" s="1513" t="s">
        <v>235</v>
      </c>
      <c r="D1055" s="1513"/>
      <c r="E1055" s="1513"/>
      <c r="F1055" s="1513"/>
      <c r="G1055" s="1513"/>
      <c r="H1055" s="1513"/>
    </row>
    <row r="1056" spans="1:8" ht="25.8">
      <c r="A1056" s="598"/>
      <c r="B1056" s="598"/>
      <c r="C1056" s="1526" t="s">
        <v>888</v>
      </c>
      <c r="D1056" s="1526"/>
      <c r="E1056" s="1526"/>
      <c r="F1056" s="1526"/>
      <c r="G1056" s="1526"/>
      <c r="H1056" s="1526"/>
    </row>
    <row r="1057" spans="1:8" ht="21">
      <c r="A1057" s="599"/>
      <c r="B1057" s="599"/>
      <c r="C1057" s="1536" t="s">
        <v>889</v>
      </c>
      <c r="D1057" s="1536"/>
      <c r="E1057" s="1536"/>
      <c r="F1057" s="1536"/>
      <c r="G1057" s="1536"/>
      <c r="H1057" s="1536"/>
    </row>
    <row r="1058" spans="1:8">
      <c r="A1058" s="7"/>
      <c r="B1058" s="7"/>
      <c r="C1058" s="7"/>
      <c r="D1058" s="7"/>
      <c r="E1058" s="7"/>
      <c r="F1058" s="7"/>
      <c r="G1058" s="7"/>
      <c r="H1058" s="7"/>
    </row>
    <row r="1059" spans="1:8" ht="12.6" thickBot="1">
      <c r="A1059" s="7"/>
      <c r="B1059" s="7"/>
      <c r="C1059" s="7"/>
      <c r="D1059" s="7"/>
      <c r="E1059" s="7"/>
      <c r="F1059" s="7"/>
      <c r="G1059" s="7"/>
      <c r="H1059" s="7"/>
    </row>
    <row r="1060" spans="1:8" ht="15.6">
      <c r="A1060" s="1538" t="s">
        <v>3</v>
      </c>
      <c r="B1060" s="1540" t="s">
        <v>4</v>
      </c>
      <c r="C1060" s="1540" t="s">
        <v>5</v>
      </c>
      <c r="D1060" s="1540" t="s">
        <v>6</v>
      </c>
      <c r="E1060" s="1540" t="s">
        <v>7</v>
      </c>
      <c r="F1060" s="8" t="s">
        <v>8</v>
      </c>
      <c r="G1060" s="8" t="s">
        <v>9</v>
      </c>
      <c r="H1060" s="9" t="s">
        <v>10</v>
      </c>
    </row>
    <row r="1061" spans="1:8" ht="15.6">
      <c r="A1061" s="1539"/>
      <c r="B1061" s="1517"/>
      <c r="C1061" s="1517"/>
      <c r="D1061" s="1517"/>
      <c r="E1061" s="1517"/>
      <c r="F1061" s="10" t="s">
        <v>11</v>
      </c>
      <c r="G1061" s="10" t="s">
        <v>11</v>
      </c>
      <c r="H1061" s="11" t="s">
        <v>11</v>
      </c>
    </row>
    <row r="1062" spans="1:8" ht="15.6">
      <c r="A1062" s="12" t="s">
        <v>12</v>
      </c>
      <c r="B1062" s="13" t="s">
        <v>13</v>
      </c>
      <c r="C1062" s="14"/>
      <c r="D1062" s="15"/>
      <c r="E1062" s="15"/>
      <c r="F1062" s="16"/>
      <c r="G1062" s="17"/>
      <c r="H1062" s="18"/>
    </row>
    <row r="1063" spans="1:8" ht="15.6">
      <c r="A1063" s="12"/>
      <c r="B1063" s="580" t="s">
        <v>890</v>
      </c>
      <c r="C1063" s="23">
        <v>1</v>
      </c>
      <c r="D1063" s="15" t="s">
        <v>334</v>
      </c>
      <c r="E1063" s="15" t="s">
        <v>891</v>
      </c>
      <c r="F1063" s="593"/>
      <c r="G1063" s="20"/>
      <c r="H1063" s="21"/>
    </row>
    <row r="1064" spans="1:8" ht="15.6">
      <c r="A1064" s="22"/>
      <c r="B1064" s="580" t="s">
        <v>892</v>
      </c>
      <c r="C1064" s="23">
        <v>24</v>
      </c>
      <c r="D1064" s="591" t="s">
        <v>893</v>
      </c>
      <c r="E1064" s="592" t="s">
        <v>421</v>
      </c>
      <c r="F1064" s="593">
        <v>5334.54</v>
      </c>
      <c r="G1064" s="20">
        <f>F1064*C1064</f>
        <v>128028.95999999999</v>
      </c>
      <c r="H1064" s="26"/>
    </row>
    <row r="1065" spans="1:8" ht="15.6">
      <c r="A1065" s="22"/>
      <c r="B1065" s="16"/>
      <c r="C1065" s="23"/>
      <c r="D1065" s="24"/>
      <c r="E1065" s="15"/>
      <c r="F1065" s="25"/>
      <c r="G1065" s="17"/>
      <c r="H1065" s="26">
        <f>SUM(G1064)</f>
        <v>128028.95999999999</v>
      </c>
    </row>
    <row r="1066" spans="1:8" ht="15.6">
      <c r="A1066" s="12" t="s">
        <v>18</v>
      </c>
      <c r="B1066" s="594" t="s">
        <v>19</v>
      </c>
      <c r="C1066" s="23"/>
      <c r="D1066" s="15"/>
      <c r="E1066" s="15"/>
      <c r="F1066" s="25"/>
      <c r="G1066" s="17"/>
      <c r="H1066" s="18"/>
    </row>
    <row r="1067" spans="1:8" ht="15.6">
      <c r="A1067" s="12"/>
      <c r="B1067" s="595" t="s">
        <v>948</v>
      </c>
      <c r="C1067" s="23">
        <v>1</v>
      </c>
      <c r="D1067" s="15" t="s">
        <v>893</v>
      </c>
      <c r="E1067" s="15" t="s">
        <v>408</v>
      </c>
      <c r="F1067" s="19">
        <v>1445499</v>
      </c>
      <c r="G1067" s="20">
        <f>F1067*C1067</f>
        <v>1445499</v>
      </c>
      <c r="H1067" s="18"/>
    </row>
    <row r="1068" spans="1:8" ht="15.6">
      <c r="A1068" s="12"/>
      <c r="B1068" s="595" t="s">
        <v>949</v>
      </c>
      <c r="C1068" s="23">
        <v>1</v>
      </c>
      <c r="D1068" s="15" t="s">
        <v>21</v>
      </c>
      <c r="E1068" s="15" t="s">
        <v>410</v>
      </c>
      <c r="F1068" s="593">
        <v>3500000</v>
      </c>
      <c r="G1068" s="20">
        <f>F1068*C1068</f>
        <v>3500000</v>
      </c>
      <c r="H1068" s="18"/>
    </row>
    <row r="1069" spans="1:8" ht="15.6">
      <c r="A1069" s="12"/>
      <c r="B1069" s="16" t="s">
        <v>895</v>
      </c>
      <c r="C1069" s="23">
        <v>2</v>
      </c>
      <c r="D1069" s="15" t="s">
        <v>893</v>
      </c>
      <c r="E1069" s="15" t="s">
        <v>408</v>
      </c>
      <c r="F1069" s="19">
        <v>443812.5</v>
      </c>
      <c r="G1069" s="20">
        <f>F1069*C1069</f>
        <v>887625</v>
      </c>
      <c r="H1069" s="18"/>
    </row>
    <row r="1070" spans="1:8" ht="15.6">
      <c r="A1070" s="12"/>
      <c r="B1070" s="16" t="s">
        <v>894</v>
      </c>
      <c r="C1070" s="23">
        <v>2</v>
      </c>
      <c r="D1070" s="15" t="s">
        <v>893</v>
      </c>
      <c r="E1070" s="15" t="s">
        <v>410</v>
      </c>
      <c r="F1070" s="19">
        <v>250000</v>
      </c>
      <c r="G1070" s="20">
        <f>F1070*C1070</f>
        <v>500000</v>
      </c>
      <c r="H1070" s="18"/>
    </row>
    <row r="1071" spans="1:8" ht="15.6">
      <c r="A1071" s="12"/>
      <c r="B1071" s="16" t="s">
        <v>896</v>
      </c>
      <c r="C1071" s="23">
        <v>1</v>
      </c>
      <c r="D1071" s="15" t="s">
        <v>897</v>
      </c>
      <c r="E1071" s="15" t="s">
        <v>410</v>
      </c>
      <c r="F1071" s="19">
        <v>250000</v>
      </c>
      <c r="G1071" s="20">
        <f>F1071*C1071</f>
        <v>250000</v>
      </c>
      <c r="H1071" s="18"/>
    </row>
    <row r="1072" spans="1:8" ht="15.6">
      <c r="A1072" s="12"/>
      <c r="B1072" s="580"/>
      <c r="C1072" s="23"/>
      <c r="D1072" s="15"/>
      <c r="E1072" s="15"/>
      <c r="F1072" s="25"/>
      <c r="G1072" s="17"/>
      <c r="H1072" s="18"/>
    </row>
    <row r="1073" spans="1:8" ht="15.6">
      <c r="A1073" s="12" t="s">
        <v>73</v>
      </c>
      <c r="B1073" s="594" t="s">
        <v>898</v>
      </c>
      <c r="C1073" s="23"/>
      <c r="D1073" s="15"/>
      <c r="E1073" s="15"/>
      <c r="F1073" s="25"/>
      <c r="G1073" s="17"/>
      <c r="H1073" s="18"/>
    </row>
    <row r="1074" spans="1:8" ht="15.6">
      <c r="A1074" s="12"/>
      <c r="B1074" s="595" t="s">
        <v>899</v>
      </c>
      <c r="C1074" s="23">
        <v>1</v>
      </c>
      <c r="D1074" s="592" t="s">
        <v>897</v>
      </c>
      <c r="E1074" s="15" t="s">
        <v>410</v>
      </c>
      <c r="F1074" s="19">
        <v>350000</v>
      </c>
      <c r="G1074" s="20">
        <f>F1074*C1074</f>
        <v>350000</v>
      </c>
      <c r="H1074" s="18"/>
    </row>
    <row r="1075" spans="1:8" ht="15.6">
      <c r="A1075" s="12"/>
      <c r="B1075" s="595" t="s">
        <v>900</v>
      </c>
      <c r="C1075" s="23">
        <v>1</v>
      </c>
      <c r="D1075" s="592" t="s">
        <v>334</v>
      </c>
      <c r="E1075" s="15" t="s">
        <v>410</v>
      </c>
      <c r="F1075" s="19">
        <v>400000</v>
      </c>
      <c r="G1075" s="20">
        <f>F1075*C1075</f>
        <v>400000</v>
      </c>
      <c r="H1075" s="18"/>
    </row>
    <row r="1076" spans="1:8" ht="15.6">
      <c r="A1076" s="12"/>
      <c r="B1076" s="595" t="s">
        <v>901</v>
      </c>
      <c r="C1076" s="23">
        <v>1</v>
      </c>
      <c r="D1076" s="592" t="s">
        <v>334</v>
      </c>
      <c r="E1076" s="15" t="s">
        <v>410</v>
      </c>
      <c r="F1076" s="19">
        <v>300000</v>
      </c>
      <c r="G1076" s="20">
        <f>F1076*C1076</f>
        <v>300000</v>
      </c>
      <c r="H1076" s="18"/>
    </row>
    <row r="1077" spans="1:8" ht="15.6">
      <c r="A1077" s="12"/>
      <c r="B1077" s="595" t="s">
        <v>902</v>
      </c>
      <c r="C1077" s="23"/>
      <c r="D1077" s="15"/>
      <c r="E1077" s="15"/>
      <c r="F1077" s="25"/>
      <c r="G1077" s="17"/>
      <c r="H1077" s="18"/>
    </row>
    <row r="1078" spans="1:8" ht="16.2" thickBot="1">
      <c r="A1078" s="22"/>
      <c r="B1078" s="16"/>
      <c r="C1078" s="23"/>
      <c r="D1078" s="24"/>
      <c r="E1078" s="15"/>
      <c r="F1078" s="25"/>
      <c r="G1078" s="17"/>
      <c r="H1078" s="18"/>
    </row>
    <row r="1079" spans="1:8" ht="15.6">
      <c r="A1079" s="27"/>
      <c r="B1079" s="28"/>
      <c r="C1079" s="29"/>
      <c r="D1079" s="30"/>
      <c r="E1079" s="30"/>
      <c r="F1079" s="30" t="s">
        <v>25</v>
      </c>
      <c r="G1079" s="31">
        <f>SUM(G1067:G1078)</f>
        <v>7633124</v>
      </c>
      <c r="H1079" s="26"/>
    </row>
    <row r="1080" spans="1:8" ht="15.6">
      <c r="A1080" s="33"/>
      <c r="B1080" s="34"/>
      <c r="C1080" s="35"/>
      <c r="D1080" s="35"/>
      <c r="E1080" s="36"/>
      <c r="F1080" s="37" t="s">
        <v>26</v>
      </c>
      <c r="G1080" s="38">
        <f>G1079/10</f>
        <v>763312.4</v>
      </c>
      <c r="H1080" s="26">
        <f>SUM(G1079:G1080)</f>
        <v>8396436.4000000004</v>
      </c>
    </row>
    <row r="1081" spans="1:8" ht="16.2" thickBot="1">
      <c r="A1081" s="33"/>
      <c r="B1081" s="34"/>
      <c r="C1081" s="35"/>
      <c r="D1081" s="35"/>
      <c r="E1081" s="36"/>
      <c r="F1081" s="37"/>
      <c r="G1081" s="38"/>
      <c r="H1081" s="26"/>
    </row>
    <row r="1082" spans="1:8" ht="15.6">
      <c r="A1082" s="40" t="s">
        <v>27</v>
      </c>
      <c r="B1082" s="41"/>
      <c r="C1082" s="41"/>
      <c r="D1082" s="41"/>
      <c r="E1082" s="41"/>
      <c r="F1082" s="42"/>
      <c r="G1082" s="43" t="s">
        <v>28</v>
      </c>
      <c r="H1082" s="32">
        <f>SUM(H1062:H1080)</f>
        <v>8524465.3600000013</v>
      </c>
    </row>
    <row r="1083" spans="1:8" ht="16.2" thickBot="1">
      <c r="A1083" s="44"/>
      <c r="B1083" s="596" t="s">
        <v>950</v>
      </c>
      <c r="C1083" s="45"/>
      <c r="D1083" s="45"/>
      <c r="E1083" s="45"/>
      <c r="F1083" s="46"/>
      <c r="G1083" s="47" t="s">
        <v>30</v>
      </c>
      <c r="H1083" s="48">
        <f>ROUND(H1082,-2)</f>
        <v>8524500</v>
      </c>
    </row>
    <row r="1084" spans="1:8" ht="15.6">
      <c r="A1084" s="49"/>
      <c r="B1084" s="49"/>
      <c r="C1084" s="49"/>
      <c r="D1084" s="49"/>
      <c r="E1084" s="49"/>
      <c r="F1084" s="49"/>
      <c r="G1084" s="49"/>
      <c r="H1084" s="50"/>
    </row>
    <row r="1085" spans="1:8" ht="15.6">
      <c r="A1085" s="49"/>
      <c r="B1085" s="49"/>
      <c r="C1085" s="49"/>
      <c r="D1085" s="49"/>
      <c r="E1085" s="49"/>
      <c r="F1085" s="49"/>
      <c r="G1085" s="49"/>
      <c r="H1085" s="50"/>
    </row>
    <row r="1086" spans="1:8" ht="15.6">
      <c r="A1086" s="51"/>
      <c r="B1086" s="51"/>
      <c r="C1086" s="51"/>
      <c r="D1086" s="51"/>
      <c r="E1086" s="51"/>
      <c r="F1086" s="51"/>
      <c r="G1086" s="1583" t="s">
        <v>915</v>
      </c>
      <c r="H1086" s="1509"/>
    </row>
    <row r="1087" spans="1:8" ht="15.6">
      <c r="A1087" s="1509" t="s">
        <v>31</v>
      </c>
      <c r="B1087" s="1509"/>
      <c r="C1087" s="1509" t="s">
        <v>914</v>
      </c>
      <c r="D1087" s="1509"/>
      <c r="E1087" s="1509"/>
      <c r="F1087" s="51"/>
      <c r="G1087" s="1509" t="s">
        <v>488</v>
      </c>
      <c r="H1087" s="1509"/>
    </row>
    <row r="1088" spans="1:8" ht="15.6">
      <c r="A1088" s="51"/>
      <c r="B1088" s="51"/>
      <c r="C1088" s="51"/>
      <c r="D1088" s="51"/>
      <c r="E1088" s="51"/>
      <c r="F1088" s="51"/>
      <c r="G1088" s="51"/>
      <c r="H1088" s="51"/>
    </row>
    <row r="1089" spans="1:8" ht="15.6">
      <c r="A1089" s="51"/>
      <c r="B1089" s="51"/>
      <c r="C1089" s="51"/>
      <c r="D1089" s="51"/>
      <c r="E1089" s="51"/>
      <c r="F1089" s="51"/>
      <c r="G1089" s="51"/>
      <c r="H1089" s="51"/>
    </row>
    <row r="1090" spans="1:8" ht="15.6">
      <c r="A1090" s="51"/>
      <c r="B1090" s="51"/>
      <c r="C1090" s="51"/>
      <c r="D1090" s="51"/>
      <c r="E1090" s="51"/>
      <c r="F1090" s="51"/>
      <c r="G1090" s="51"/>
      <c r="H1090" s="51"/>
    </row>
    <row r="1091" spans="1:8" ht="15.6">
      <c r="A1091" s="1512" t="s">
        <v>34</v>
      </c>
      <c r="B1091" s="1512"/>
      <c r="C1091" s="1512" t="s">
        <v>35</v>
      </c>
      <c r="D1091" s="1512"/>
      <c r="E1091" s="1512"/>
      <c r="F1091" s="51"/>
      <c r="G1091" s="1512" t="s">
        <v>36</v>
      </c>
      <c r="H1091" s="1512"/>
    </row>
    <row r="1092" spans="1:8" ht="15.6">
      <c r="A1092" s="1509" t="s">
        <v>37</v>
      </c>
      <c r="B1092" s="1509"/>
      <c r="C1092" s="1509" t="s">
        <v>38</v>
      </c>
      <c r="D1092" s="1509"/>
      <c r="E1092" s="1509"/>
      <c r="F1092" s="51"/>
      <c r="G1092" s="1509" t="s">
        <v>39</v>
      </c>
      <c r="H1092" s="1509"/>
    </row>
    <row r="1093" spans="1:8">
      <c r="A1093" s="5"/>
      <c r="B1093" s="5"/>
      <c r="C1093" s="5"/>
      <c r="D1093" s="5"/>
      <c r="E1093" s="5"/>
      <c r="F1093" s="6"/>
      <c r="G1093" s="5"/>
      <c r="H1093" s="5"/>
    </row>
    <row r="1094" spans="1:8">
      <c r="A1094" s="5"/>
      <c r="B1094" s="5"/>
      <c r="C1094" s="5"/>
      <c r="D1094" s="5"/>
      <c r="E1094" s="5"/>
      <c r="F1094" s="6"/>
      <c r="G1094" s="5"/>
      <c r="H1094" s="5"/>
    </row>
    <row r="1101" spans="1:8">
      <c r="A1101" s="2"/>
      <c r="B1101" s="2"/>
      <c r="C1101" s="2"/>
      <c r="D1101" s="2"/>
      <c r="E1101" s="2"/>
      <c r="F1101" s="2"/>
      <c r="G1101" s="2"/>
      <c r="H1101" s="2"/>
    </row>
    <row r="1102" spans="1:8" ht="28.8">
      <c r="A1102" s="597"/>
      <c r="B1102" s="597"/>
      <c r="C1102" s="1513" t="s">
        <v>235</v>
      </c>
      <c r="D1102" s="1513"/>
      <c r="E1102" s="1513"/>
      <c r="F1102" s="1513"/>
      <c r="G1102" s="1513"/>
      <c r="H1102" s="1513"/>
    </row>
    <row r="1103" spans="1:8" ht="25.8">
      <c r="A1103" s="598"/>
      <c r="B1103" s="598"/>
      <c r="C1103" s="1526" t="s">
        <v>886</v>
      </c>
      <c r="D1103" s="1526"/>
      <c r="E1103" s="1526"/>
      <c r="F1103" s="1526"/>
      <c r="G1103" s="1526"/>
      <c r="H1103" s="1526"/>
    </row>
    <row r="1104" spans="1:8" ht="21">
      <c r="A1104" s="599"/>
      <c r="B1104" s="599"/>
      <c r="C1104" s="1536" t="s">
        <v>887</v>
      </c>
      <c r="D1104" s="1536"/>
      <c r="E1104" s="1536"/>
      <c r="F1104" s="1536"/>
      <c r="G1104" s="1536"/>
      <c r="H1104" s="1536"/>
    </row>
    <row r="1105" spans="1:8">
      <c r="A1105" s="7"/>
      <c r="B1105" s="7"/>
      <c r="C1105" s="7"/>
      <c r="D1105" s="7"/>
      <c r="E1105" s="7"/>
      <c r="F1105" s="7"/>
      <c r="G1105" s="7"/>
      <c r="H1105" s="7"/>
    </row>
    <row r="1106" spans="1:8" ht="12.6" thickBot="1">
      <c r="A1106" s="7"/>
      <c r="B1106" s="7"/>
      <c r="C1106" s="7"/>
      <c r="D1106" s="7"/>
      <c r="E1106" s="7"/>
      <c r="F1106" s="7"/>
      <c r="G1106" s="7"/>
      <c r="H1106" s="7"/>
    </row>
    <row r="1107" spans="1:8" ht="15.6">
      <c r="A1107" s="1538" t="s">
        <v>3</v>
      </c>
      <c r="B1107" s="1540" t="s">
        <v>4</v>
      </c>
      <c r="C1107" s="1540" t="s">
        <v>5</v>
      </c>
      <c r="D1107" s="1540" t="s">
        <v>6</v>
      </c>
      <c r="E1107" s="1540" t="s">
        <v>7</v>
      </c>
      <c r="F1107" s="8" t="s">
        <v>8</v>
      </c>
      <c r="G1107" s="8" t="s">
        <v>9</v>
      </c>
      <c r="H1107" s="9" t="s">
        <v>10</v>
      </c>
    </row>
    <row r="1108" spans="1:8" ht="15.6">
      <c r="A1108" s="1539"/>
      <c r="B1108" s="1517"/>
      <c r="C1108" s="1517"/>
      <c r="D1108" s="1517"/>
      <c r="E1108" s="1517"/>
      <c r="F1108" s="10" t="s">
        <v>11</v>
      </c>
      <c r="G1108" s="10" t="s">
        <v>11</v>
      </c>
      <c r="H1108" s="11" t="s">
        <v>11</v>
      </c>
    </row>
    <row r="1109" spans="1:8" ht="15.6">
      <c r="A1109" s="12" t="s">
        <v>12</v>
      </c>
      <c r="B1109" s="13" t="s">
        <v>881</v>
      </c>
      <c r="C1109" s="14"/>
      <c r="D1109" s="15"/>
      <c r="E1109" s="15"/>
      <c r="F1109" s="16"/>
      <c r="G1109" s="17"/>
      <c r="H1109" s="18"/>
    </row>
    <row r="1110" spans="1:8" ht="15.6">
      <c r="A1110" s="12"/>
      <c r="B1110" s="580" t="s">
        <v>882</v>
      </c>
      <c r="C1110" s="23">
        <v>1</v>
      </c>
      <c r="D1110" s="15" t="s">
        <v>69</v>
      </c>
      <c r="E1110" s="15" t="s">
        <v>51</v>
      </c>
      <c r="F1110" s="593">
        <v>200000</v>
      </c>
      <c r="G1110" s="20">
        <f>F1110*C1110</f>
        <v>200000</v>
      </c>
      <c r="H1110" s="21"/>
    </row>
    <row r="1111" spans="1:8" ht="15.6">
      <c r="A1111" s="22"/>
      <c r="B1111" s="580" t="s">
        <v>883</v>
      </c>
      <c r="C1111" s="23">
        <v>1.5</v>
      </c>
      <c r="D1111" s="591" t="s">
        <v>81</v>
      </c>
      <c r="E1111" s="592" t="s">
        <v>884</v>
      </c>
      <c r="F1111" s="593">
        <v>455805.37</v>
      </c>
      <c r="G1111" s="20">
        <f>F1111*C1111</f>
        <v>683708.05499999993</v>
      </c>
      <c r="H1111" s="26"/>
    </row>
    <row r="1112" spans="1:8" ht="15.6">
      <c r="A1112" s="22"/>
      <c r="B1112" s="16"/>
      <c r="C1112" s="23"/>
      <c r="D1112" s="24"/>
      <c r="E1112" s="15"/>
      <c r="F1112" s="25"/>
      <c r="G1112" s="17"/>
      <c r="H1112" s="26">
        <f>SUM(G1110:G1111)</f>
        <v>883708.05499999993</v>
      </c>
    </row>
    <row r="1113" spans="1:8" ht="15.6">
      <c r="A1113" s="12" t="s">
        <v>18</v>
      </c>
      <c r="B1113" s="594" t="s">
        <v>885</v>
      </c>
      <c r="C1113" s="23"/>
      <c r="D1113" s="15"/>
      <c r="E1113" s="15"/>
      <c r="F1113" s="25"/>
      <c r="G1113" s="17"/>
      <c r="H1113" s="18"/>
    </row>
    <row r="1114" spans="1:8" ht="15.6">
      <c r="A1114" s="12"/>
      <c r="B1114" s="580" t="s">
        <v>925</v>
      </c>
      <c r="C1114" s="23">
        <v>6</v>
      </c>
      <c r="D1114" s="15" t="s">
        <v>926</v>
      </c>
      <c r="E1114" s="15" t="s">
        <v>16</v>
      </c>
      <c r="F1114" s="19">
        <v>81810</v>
      </c>
      <c r="G1114" s="20">
        <f>F1114*C1114</f>
        <v>490860</v>
      </c>
      <c r="H1114" s="18"/>
    </row>
    <row r="1115" spans="1:8" ht="15.6">
      <c r="A1115" s="12"/>
      <c r="B1115" s="580" t="s">
        <v>927</v>
      </c>
      <c r="C1115" s="23">
        <v>7.5</v>
      </c>
      <c r="D1115" s="592" t="s">
        <v>84</v>
      </c>
      <c r="E1115" s="15" t="s">
        <v>16</v>
      </c>
      <c r="F1115" s="593">
        <v>93543.8</v>
      </c>
      <c r="G1115" s="20">
        <f>F1115*C1115</f>
        <v>701578.5</v>
      </c>
      <c r="H1115" s="18"/>
    </row>
    <row r="1116" spans="1:8" ht="15.6">
      <c r="A1116" s="12"/>
      <c r="B1116" s="16"/>
      <c r="C1116" s="14"/>
      <c r="D1116" s="15"/>
      <c r="E1116" s="15"/>
      <c r="F1116" s="19"/>
      <c r="G1116" s="20"/>
      <c r="H1116" s="605">
        <f>SUM(G1114:G1115)</f>
        <v>1192438.5</v>
      </c>
    </row>
    <row r="1117" spans="1:8" ht="15.6">
      <c r="A1117" s="634" t="s">
        <v>73</v>
      </c>
      <c r="B1117" s="594" t="s">
        <v>19</v>
      </c>
      <c r="C1117" s="14"/>
      <c r="D1117" s="15"/>
      <c r="E1117" s="15"/>
      <c r="F1117" s="19"/>
      <c r="G1117" s="20"/>
      <c r="H1117" s="18"/>
    </row>
    <row r="1118" spans="1:8" ht="15.6">
      <c r="A1118" s="12"/>
      <c r="B1118" s="635" t="s">
        <v>928</v>
      </c>
      <c r="C1118" s="23">
        <v>1.89</v>
      </c>
      <c r="D1118" s="592" t="s">
        <v>84</v>
      </c>
      <c r="E1118" s="592" t="s">
        <v>16</v>
      </c>
      <c r="F1118" s="25">
        <v>49076.38</v>
      </c>
      <c r="G1118" s="20">
        <f>F1118*C1118</f>
        <v>92754.358199999988</v>
      </c>
      <c r="H1118" s="18"/>
    </row>
    <row r="1119" spans="1:8" ht="15.6">
      <c r="A1119" s="12"/>
      <c r="B1119" s="635" t="s">
        <v>929</v>
      </c>
      <c r="C1119" s="23">
        <v>1.89</v>
      </c>
      <c r="D1119" s="592" t="s">
        <v>84</v>
      </c>
      <c r="E1119" s="592" t="s">
        <v>16</v>
      </c>
      <c r="F1119" s="25">
        <v>189231.35999999999</v>
      </c>
      <c r="G1119" s="20">
        <f>F1119*C1119</f>
        <v>357647.27039999998</v>
      </c>
      <c r="H1119" s="18"/>
    </row>
    <row r="1120" spans="1:8" ht="15.6">
      <c r="A1120" s="12"/>
      <c r="B1120" s="635" t="s">
        <v>930</v>
      </c>
      <c r="C1120" s="23">
        <v>2.56</v>
      </c>
      <c r="D1120" s="592" t="s">
        <v>84</v>
      </c>
      <c r="E1120" s="592" t="s">
        <v>16</v>
      </c>
      <c r="F1120" s="25">
        <v>43635</v>
      </c>
      <c r="G1120" s="20">
        <f>F1120*C1120</f>
        <v>111705.60000000001</v>
      </c>
      <c r="H1120" s="18"/>
    </row>
    <row r="1121" spans="1:8" ht="15.6">
      <c r="A1121" s="12"/>
      <c r="B1121" s="635" t="s">
        <v>931</v>
      </c>
      <c r="C1121" s="23">
        <v>2.4</v>
      </c>
      <c r="D1121" s="592" t="s">
        <v>933</v>
      </c>
      <c r="E1121" s="592" t="s">
        <v>16</v>
      </c>
      <c r="F1121" s="25">
        <v>97500</v>
      </c>
      <c r="G1121" s="20">
        <f>F1121*C1121</f>
        <v>234000</v>
      </c>
      <c r="H1121" s="18"/>
    </row>
    <row r="1122" spans="1:8" ht="15.6">
      <c r="A1122" s="12"/>
      <c r="B1122" s="635" t="s">
        <v>932</v>
      </c>
      <c r="C1122" s="23">
        <v>1</v>
      </c>
      <c r="D1122" s="592" t="s">
        <v>126</v>
      </c>
      <c r="E1122" s="592" t="s">
        <v>51</v>
      </c>
      <c r="F1122" s="25">
        <v>500000</v>
      </c>
      <c r="G1122" s="20">
        <f>F1122*C1122</f>
        <v>500000</v>
      </c>
      <c r="H1122" s="18"/>
    </row>
    <row r="1123" spans="1:8" ht="15.6">
      <c r="A1123" s="637"/>
      <c r="B1123" s="638"/>
      <c r="C1123" s="639"/>
      <c r="D1123" s="640"/>
      <c r="E1123" s="647"/>
      <c r="F1123" s="648" t="s">
        <v>25</v>
      </c>
      <c r="G1123" s="636">
        <f>SUM(G1118:G1122)</f>
        <v>1296107.2286</v>
      </c>
      <c r="H1123" s="18"/>
    </row>
    <row r="1124" spans="1:8" ht="15.6">
      <c r="A1124" s="641"/>
      <c r="B1124" s="34"/>
      <c r="C1124" s="621"/>
      <c r="D1124" s="642"/>
      <c r="E1124" s="36"/>
      <c r="F1124" s="649" t="s">
        <v>460</v>
      </c>
      <c r="G1124" s="17"/>
      <c r="H1124" s="18"/>
    </row>
    <row r="1125" spans="1:8" ht="15.6">
      <c r="A1125" s="641"/>
      <c r="B1125" s="34"/>
      <c r="C1125" s="621"/>
      <c r="D1125" s="36"/>
      <c r="E1125" s="36"/>
      <c r="F1125" s="643"/>
      <c r="G1125" s="17"/>
      <c r="H1125" s="605">
        <f>SUM(G1123:G1124)</f>
        <v>1296107.2286</v>
      </c>
    </row>
    <row r="1126" spans="1:8" ht="14.1" customHeight="1" thickBot="1">
      <c r="A1126" s="644"/>
      <c r="B1126" s="606"/>
      <c r="C1126" s="645"/>
      <c r="D1126" s="607"/>
      <c r="E1126" s="607"/>
      <c r="F1126" s="646"/>
      <c r="G1126" s="17"/>
      <c r="H1126" s="605"/>
    </row>
    <row r="1127" spans="1:8" ht="14.1" customHeight="1">
      <c r="A1127" s="40"/>
      <c r="B1127" s="41"/>
      <c r="C1127" s="41"/>
      <c r="D1127" s="41"/>
      <c r="E1127" s="41"/>
      <c r="F1127" s="42"/>
      <c r="G1127" s="43" t="s">
        <v>28</v>
      </c>
      <c r="H1127" s="32">
        <f>SUM(H1109:H1126)</f>
        <v>3372253.7835999997</v>
      </c>
    </row>
    <row r="1128" spans="1:8" s="2" customFormat="1" ht="14.1" customHeight="1" thickBot="1">
      <c r="A1128" s="44"/>
      <c r="B1128" s="596"/>
      <c r="C1128" s="45"/>
      <c r="D1128" s="45"/>
      <c r="E1128" s="45"/>
      <c r="F1128" s="46"/>
      <c r="G1128" s="47" t="s">
        <v>30</v>
      </c>
      <c r="H1128" s="48">
        <f>ROUND(H1127,-3)</f>
        <v>3372000</v>
      </c>
    </row>
    <row r="1129" spans="1:8" s="2" customFormat="1" ht="14.1" customHeight="1">
      <c r="A1129" s="49"/>
      <c r="B1129" s="49"/>
      <c r="C1129" s="49"/>
      <c r="D1129" s="49"/>
      <c r="E1129" s="49"/>
      <c r="F1129" s="49"/>
      <c r="G1129" s="49"/>
      <c r="H1129" s="50"/>
    </row>
    <row r="1130" spans="1:8" s="2" customFormat="1" ht="14.1" customHeight="1">
      <c r="A1130" s="650" t="s">
        <v>934</v>
      </c>
      <c r="B1130" s="49"/>
      <c r="C1130" s="49"/>
      <c r="D1130" s="49"/>
      <c r="E1130" s="49"/>
      <c r="F1130" s="49"/>
      <c r="G1130" s="49"/>
      <c r="H1130" s="50"/>
    </row>
    <row r="1131" spans="1:8" s="2" customFormat="1" ht="14.1" customHeight="1">
      <c r="A1131" s="49"/>
      <c r="B1131" s="49"/>
      <c r="C1131" s="49"/>
      <c r="D1131" s="49"/>
      <c r="E1131" s="49"/>
      <c r="F1131" s="49"/>
      <c r="G1131" s="49"/>
      <c r="H1131" s="50"/>
    </row>
    <row r="1132" spans="1:8" s="2" customFormat="1" ht="14.1" customHeight="1">
      <c r="A1132" s="51"/>
      <c r="B1132" s="51"/>
      <c r="C1132" s="51"/>
      <c r="D1132" s="51"/>
      <c r="E1132" s="51"/>
      <c r="F1132" s="51"/>
      <c r="G1132" s="1583" t="s">
        <v>915</v>
      </c>
      <c r="H1132" s="1509"/>
    </row>
    <row r="1133" spans="1:8" s="2" customFormat="1" ht="14.1" customHeight="1">
      <c r="A1133" s="1509" t="s">
        <v>31</v>
      </c>
      <c r="B1133" s="1509"/>
      <c r="C1133" s="1509" t="s">
        <v>914</v>
      </c>
      <c r="D1133" s="1509"/>
      <c r="E1133" s="1509"/>
      <c r="F1133" s="51"/>
      <c r="G1133" s="1509" t="s">
        <v>33</v>
      </c>
      <c r="H1133" s="1509"/>
    </row>
    <row r="1134" spans="1:8" s="2" customFormat="1" ht="14.1" customHeight="1">
      <c r="A1134" s="51"/>
      <c r="B1134" s="51"/>
      <c r="C1134" s="51"/>
      <c r="D1134" s="51"/>
      <c r="E1134" s="51"/>
      <c r="F1134" s="51"/>
      <c r="G1134" s="51"/>
      <c r="H1134" s="51"/>
    </row>
    <row r="1135" spans="1:8" s="2" customFormat="1" ht="14.1" customHeight="1">
      <c r="A1135" s="51"/>
      <c r="B1135" s="51"/>
      <c r="C1135" s="51"/>
      <c r="D1135" s="51"/>
      <c r="E1135" s="51"/>
      <c r="F1135" s="51"/>
      <c r="G1135" s="51"/>
      <c r="H1135" s="51"/>
    </row>
    <row r="1136" spans="1:8" s="2" customFormat="1" ht="14.1" customHeight="1">
      <c r="A1136" s="51"/>
      <c r="B1136" s="51"/>
      <c r="C1136" s="51"/>
      <c r="D1136" s="51"/>
      <c r="E1136" s="51"/>
      <c r="F1136" s="51"/>
      <c r="G1136" s="51"/>
      <c r="H1136" s="51"/>
    </row>
    <row r="1137" spans="1:8" s="2" customFormat="1" ht="14.1" customHeight="1">
      <c r="A1137" s="1512" t="s">
        <v>34</v>
      </c>
      <c r="B1137" s="1512"/>
      <c r="C1137" s="1512" t="s">
        <v>35</v>
      </c>
      <c r="D1137" s="1512"/>
      <c r="E1137" s="1512"/>
      <c r="F1137" s="51"/>
      <c r="G1137" s="1512" t="s">
        <v>36</v>
      </c>
      <c r="H1137" s="1512"/>
    </row>
    <row r="1138" spans="1:8" s="2" customFormat="1" ht="14.1" customHeight="1">
      <c r="A1138" s="1509" t="s">
        <v>37</v>
      </c>
      <c r="B1138" s="1509"/>
      <c r="C1138" s="1509" t="s">
        <v>38</v>
      </c>
      <c r="D1138" s="1509"/>
      <c r="E1138" s="1509"/>
      <c r="F1138" s="51"/>
      <c r="G1138" s="1509" t="s">
        <v>39</v>
      </c>
      <c r="H1138" s="1509"/>
    </row>
    <row r="1139" spans="1:8" s="2" customFormat="1" ht="14.1" customHeight="1">
      <c r="A1139" s="5"/>
      <c r="B1139" s="5"/>
      <c r="C1139" s="5"/>
      <c r="D1139" s="5"/>
      <c r="E1139" s="5"/>
      <c r="F1139" s="6"/>
      <c r="G1139" s="5"/>
      <c r="H1139" s="5"/>
    </row>
    <row r="1140" spans="1:8" s="2" customFormat="1" ht="14.1" customHeight="1">
      <c r="A1140" s="5"/>
      <c r="B1140" s="5"/>
      <c r="C1140" s="5"/>
      <c r="D1140" s="5"/>
      <c r="E1140" s="5"/>
      <c r="F1140" s="6"/>
      <c r="G1140" s="5"/>
      <c r="H1140" s="5"/>
    </row>
    <row r="1141" spans="1:8" s="2" customFormat="1" ht="14.1" customHeight="1">
      <c r="A1141" s="5"/>
      <c r="B1141" s="5"/>
      <c r="C1141" s="5"/>
      <c r="D1141" s="5"/>
      <c r="E1141" s="5"/>
      <c r="F1141" s="6"/>
      <c r="G1141" s="5"/>
      <c r="H1141" s="5"/>
    </row>
    <row r="1142" spans="1:8" s="2" customFormat="1" ht="14.1" customHeight="1">
      <c r="A1142" s="5"/>
      <c r="B1142" s="5"/>
      <c r="C1142" s="5"/>
      <c r="D1142" s="5"/>
      <c r="E1142" s="5"/>
      <c r="F1142" s="6"/>
      <c r="G1142" s="5"/>
      <c r="H1142" s="5"/>
    </row>
    <row r="1143" spans="1:8" s="2" customFormat="1" ht="14.1" customHeight="1">
      <c r="A1143" s="5"/>
      <c r="B1143" s="5"/>
      <c r="C1143" s="5"/>
      <c r="D1143" s="5"/>
      <c r="E1143" s="5"/>
      <c r="F1143" s="6"/>
      <c r="G1143" s="5"/>
      <c r="H1143" s="5"/>
    </row>
    <row r="1144" spans="1:8" s="2" customFormat="1" ht="14.1" customHeight="1"/>
    <row r="1145" spans="1:8" s="2" customFormat="1" ht="14.1" customHeight="1"/>
    <row r="1146" spans="1:8" s="2" customFormat="1" ht="14.1" customHeight="1">
      <c r="A1146" s="1621" t="s">
        <v>0</v>
      </c>
      <c r="B1146" s="1621"/>
      <c r="C1146" s="1621"/>
      <c r="D1146" s="1621"/>
      <c r="E1146" s="1621"/>
      <c r="F1146" s="1621"/>
      <c r="G1146" s="1621"/>
      <c r="H1146" s="1621"/>
    </row>
    <row r="1147" spans="1:8" s="2" customFormat="1" ht="14.1" customHeight="1">
      <c r="A1147" s="1621" t="s">
        <v>1</v>
      </c>
      <c r="B1147" s="1621"/>
      <c r="C1147" s="1621"/>
      <c r="D1147" s="1621"/>
      <c r="E1147" s="1621"/>
      <c r="F1147" s="1621"/>
      <c r="G1147" s="1621"/>
      <c r="H1147" s="1621"/>
    </row>
    <row r="1148" spans="1:8" s="2" customFormat="1" ht="14.1" customHeight="1">
      <c r="A1148" s="1603" t="s">
        <v>2</v>
      </c>
      <c r="B1148" s="1603"/>
      <c r="C1148" s="1603"/>
      <c r="D1148" s="1603"/>
      <c r="E1148" s="1603"/>
      <c r="F1148" s="1603"/>
      <c r="G1148" s="1603"/>
      <c r="H1148" s="1603"/>
    </row>
    <row r="1149" spans="1:8" s="2" customFormat="1" ht="14.1" customHeight="1">
      <c r="A1149" s="7"/>
      <c r="B1149" s="7"/>
      <c r="C1149" s="7"/>
      <c r="D1149" s="7"/>
      <c r="E1149" s="7"/>
      <c r="F1149" s="7"/>
      <c r="G1149" s="7"/>
      <c r="H1149" s="7"/>
    </row>
    <row r="1150" spans="1:8" s="2" customFormat="1" ht="14.1" customHeight="1" thickBot="1">
      <c r="A1150" s="7"/>
      <c r="B1150" s="7"/>
      <c r="C1150" s="7"/>
      <c r="D1150" s="7"/>
      <c r="E1150" s="7"/>
      <c r="F1150" s="7"/>
      <c r="G1150" s="7"/>
      <c r="H1150" s="7"/>
    </row>
    <row r="1151" spans="1:8" s="2" customFormat="1" ht="14.1" customHeight="1">
      <c r="A1151" s="1538" t="s">
        <v>3</v>
      </c>
      <c r="B1151" s="1540" t="s">
        <v>4</v>
      </c>
      <c r="C1151" s="1540" t="s">
        <v>5</v>
      </c>
      <c r="D1151" s="1540" t="s">
        <v>6</v>
      </c>
      <c r="E1151" s="1540" t="s">
        <v>7</v>
      </c>
      <c r="F1151" s="8" t="s">
        <v>8</v>
      </c>
      <c r="G1151" s="8" t="s">
        <v>9</v>
      </c>
      <c r="H1151" s="9" t="s">
        <v>10</v>
      </c>
    </row>
    <row r="1152" spans="1:8" s="2" customFormat="1" ht="14.1" customHeight="1">
      <c r="A1152" s="1539"/>
      <c r="B1152" s="1517"/>
      <c r="C1152" s="1517"/>
      <c r="D1152" s="1517"/>
      <c r="E1152" s="1517"/>
      <c r="F1152" s="10" t="s">
        <v>11</v>
      </c>
      <c r="G1152" s="10" t="s">
        <v>11</v>
      </c>
      <c r="H1152" s="11" t="s">
        <v>11</v>
      </c>
    </row>
    <row r="1153" spans="1:8" s="2" customFormat="1" ht="14.1" customHeight="1">
      <c r="A1153" s="12" t="s">
        <v>12</v>
      </c>
      <c r="B1153" s="13" t="s">
        <v>13</v>
      </c>
      <c r="C1153" s="14"/>
      <c r="D1153" s="15"/>
      <c r="E1153" s="15"/>
      <c r="F1153" s="16"/>
      <c r="G1153" s="17"/>
      <c r="H1153" s="18"/>
    </row>
    <row r="1154" spans="1:8" s="2" customFormat="1" ht="14.1" customHeight="1">
      <c r="A1154" s="12"/>
      <c r="B1154" s="580" t="s">
        <v>14</v>
      </c>
      <c r="C1154" s="14">
        <v>1</v>
      </c>
      <c r="D1154" s="15" t="s">
        <v>15</v>
      </c>
      <c r="E1154" s="15" t="s">
        <v>16</v>
      </c>
      <c r="F1154" s="19">
        <v>3130000</v>
      </c>
      <c r="G1154" s="20">
        <f>F1154*C1154</f>
        <v>3130000</v>
      </c>
      <c r="H1154" s="21"/>
    </row>
    <row r="1155" spans="1:8" s="2" customFormat="1" ht="14.1" customHeight="1">
      <c r="A1155" s="22"/>
      <c r="B1155" s="16" t="s">
        <v>17</v>
      </c>
      <c r="C1155" s="23"/>
      <c r="D1155" s="24"/>
      <c r="E1155" s="15"/>
      <c r="F1155" s="25"/>
      <c r="G1155" s="17"/>
      <c r="H1155" s="26"/>
    </row>
    <row r="1156" spans="1:8" s="2" customFormat="1" ht="14.1" customHeight="1">
      <c r="A1156" s="22"/>
      <c r="B1156" s="16"/>
      <c r="C1156" s="23"/>
      <c r="D1156" s="24"/>
      <c r="E1156" s="15"/>
      <c r="F1156" s="25"/>
      <c r="G1156" s="17"/>
      <c r="H1156" s="26"/>
    </row>
    <row r="1157" spans="1:8" s="2" customFormat="1" ht="14.1" customHeight="1">
      <c r="A1157" s="12" t="s">
        <v>18</v>
      </c>
      <c r="B1157" s="13" t="s">
        <v>19</v>
      </c>
      <c r="C1157" s="23"/>
      <c r="D1157" s="15"/>
      <c r="E1157" s="15"/>
      <c r="F1157" s="25"/>
      <c r="G1157" s="17"/>
      <c r="H1157" s="18"/>
    </row>
    <row r="1158" spans="1:8" s="2" customFormat="1" ht="14.1" customHeight="1">
      <c r="A1158" s="12"/>
      <c r="B1158" s="580" t="s">
        <v>20</v>
      </c>
      <c r="C1158" s="14">
        <v>5</v>
      </c>
      <c r="D1158" s="15" t="s">
        <v>21</v>
      </c>
      <c r="E1158" s="15" t="s">
        <v>16</v>
      </c>
      <c r="F1158" s="19">
        <v>63418200</v>
      </c>
      <c r="G1158" s="20">
        <f>F1158*C1158</f>
        <v>317091000</v>
      </c>
      <c r="H1158" s="18"/>
    </row>
    <row r="1159" spans="1:8" s="2" customFormat="1" ht="14.1" customHeight="1">
      <c r="A1159" s="12"/>
      <c r="B1159" s="16" t="s">
        <v>22</v>
      </c>
      <c r="C1159" s="14"/>
      <c r="D1159" s="15"/>
      <c r="E1159" s="15"/>
      <c r="F1159" s="19"/>
      <c r="G1159" s="20"/>
      <c r="H1159" s="18"/>
    </row>
    <row r="1160" spans="1:8" s="2" customFormat="1" ht="14.1" customHeight="1">
      <c r="A1160" s="12"/>
      <c r="B1160" s="16" t="s">
        <v>23</v>
      </c>
      <c r="C1160" s="14"/>
      <c r="D1160" s="15"/>
      <c r="E1160" s="15"/>
      <c r="F1160" s="19"/>
      <c r="G1160" s="20"/>
      <c r="H1160" s="18"/>
    </row>
    <row r="1161" spans="1:8" ht="14.1" customHeight="1">
      <c r="A1161" s="12"/>
      <c r="B1161" s="16"/>
      <c r="C1161" s="14"/>
      <c r="D1161" s="15"/>
      <c r="E1161" s="15"/>
      <c r="F1161" s="19"/>
      <c r="G1161" s="20"/>
      <c r="H1161" s="18"/>
    </row>
    <row r="1162" spans="1:8" ht="14.1" customHeight="1">
      <c r="A1162" s="12"/>
      <c r="B1162" s="580" t="s">
        <v>24</v>
      </c>
      <c r="C1162" s="23">
        <v>5</v>
      </c>
      <c r="D1162" s="15" t="s">
        <v>21</v>
      </c>
      <c r="E1162" s="15" t="s">
        <v>16</v>
      </c>
      <c r="F1162" s="25">
        <v>5000000</v>
      </c>
      <c r="G1162" s="17">
        <f>F1162*C1162</f>
        <v>25000000</v>
      </c>
      <c r="H1162" s="18"/>
    </row>
    <row r="1163" spans="1:8" ht="14.1" customHeight="1">
      <c r="A1163" s="22"/>
      <c r="B1163" s="16"/>
      <c r="C1163" s="23"/>
      <c r="D1163" s="24"/>
      <c r="E1163" s="15"/>
      <c r="F1163" s="25"/>
      <c r="G1163" s="17"/>
      <c r="H1163" s="18"/>
    </row>
    <row r="1164" spans="1:8" ht="14.1" customHeight="1" thickBot="1">
      <c r="A1164" s="22"/>
      <c r="B1164" s="16"/>
      <c r="C1164" s="23"/>
      <c r="D1164" s="15"/>
      <c r="E1164" s="15"/>
      <c r="F1164" s="25"/>
      <c r="G1164" s="17"/>
      <c r="H1164" s="18"/>
    </row>
    <row r="1165" spans="1:8" ht="14.1" customHeight="1">
      <c r="A1165" s="27"/>
      <c r="B1165" s="28"/>
      <c r="C1165" s="29"/>
      <c r="D1165" s="30"/>
      <c r="E1165" s="30"/>
      <c r="F1165" s="30" t="s">
        <v>25</v>
      </c>
      <c r="G1165" s="31">
        <f>SUM(G1154:G1163)</f>
        <v>345221000</v>
      </c>
      <c r="H1165" s="32">
        <f>SUM(G1165:G1166)</f>
        <v>379743100</v>
      </c>
    </row>
    <row r="1166" spans="1:8" ht="14.1" customHeight="1" thickBot="1">
      <c r="A1166" s="33"/>
      <c r="B1166" s="34"/>
      <c r="C1166" s="35"/>
      <c r="D1166" s="35"/>
      <c r="E1166" s="36"/>
      <c r="F1166" s="37" t="s">
        <v>26</v>
      </c>
      <c r="G1166" s="38">
        <f>G1165/10</f>
        <v>34522100</v>
      </c>
      <c r="H1166" s="39"/>
    </row>
    <row r="1167" spans="1:8" ht="14.1" customHeight="1">
      <c r="A1167" s="40" t="s">
        <v>27</v>
      </c>
      <c r="B1167" s="41"/>
      <c r="C1167" s="41"/>
      <c r="D1167" s="41"/>
      <c r="E1167" s="41"/>
      <c r="F1167" s="42"/>
      <c r="G1167" s="43" t="s">
        <v>28</v>
      </c>
      <c r="H1167" s="32">
        <f>H1165</f>
        <v>379743100</v>
      </c>
    </row>
    <row r="1168" spans="1:8" ht="14.1" customHeight="1" thickBot="1">
      <c r="A1168" s="44"/>
      <c r="B1168" s="45" t="s">
        <v>29</v>
      </c>
      <c r="C1168" s="45"/>
      <c r="D1168" s="45"/>
      <c r="E1168" s="45"/>
      <c r="F1168" s="46"/>
      <c r="G1168" s="47" t="s">
        <v>30</v>
      </c>
      <c r="H1168" s="48">
        <f>ROUND(H1167,-2)</f>
        <v>379743100</v>
      </c>
    </row>
    <row r="1169" spans="1:10" ht="14.1" customHeight="1">
      <c r="A1169" s="49"/>
      <c r="B1169" s="49"/>
      <c r="C1169" s="49"/>
      <c r="D1169" s="49"/>
      <c r="E1169" s="49"/>
      <c r="F1169" s="49"/>
      <c r="G1169" s="49"/>
      <c r="H1169" s="50"/>
    </row>
    <row r="1170" spans="1:10" ht="14.1" customHeight="1">
      <c r="A1170" s="49"/>
      <c r="B1170" s="49"/>
      <c r="C1170" s="49"/>
      <c r="D1170" s="49"/>
      <c r="E1170" s="49"/>
      <c r="F1170" s="49"/>
      <c r="G1170" s="49"/>
      <c r="H1170" s="50"/>
    </row>
    <row r="1171" spans="1:10" ht="14.1" customHeight="1">
      <c r="A1171" s="51"/>
      <c r="B1171" s="51"/>
      <c r="C1171" s="51"/>
      <c r="D1171" s="51"/>
      <c r="E1171" s="51"/>
      <c r="F1171" s="51"/>
      <c r="G1171" s="1509" t="s">
        <v>915</v>
      </c>
      <c r="H1171" s="1509"/>
    </row>
    <row r="1172" spans="1:10" ht="14.1" customHeight="1">
      <c r="A1172" s="1509" t="s">
        <v>31</v>
      </c>
      <c r="B1172" s="1509"/>
      <c r="C1172" s="1509" t="s">
        <v>914</v>
      </c>
      <c r="D1172" s="1509"/>
      <c r="E1172" s="1509"/>
      <c r="F1172" s="51"/>
      <c r="G1172" s="1509" t="s">
        <v>488</v>
      </c>
      <c r="H1172" s="1509"/>
    </row>
    <row r="1173" spans="1:10" s="2" customFormat="1" ht="14.1" customHeight="1">
      <c r="A1173" s="51"/>
      <c r="B1173" s="51"/>
      <c r="C1173" s="51"/>
      <c r="D1173" s="51"/>
      <c r="E1173" s="51"/>
      <c r="F1173" s="51"/>
      <c r="G1173" s="51"/>
      <c r="H1173" s="51"/>
    </row>
    <row r="1174" spans="1:10" s="2" customFormat="1" ht="14.1" customHeight="1">
      <c r="A1174" s="51"/>
      <c r="B1174" s="51"/>
      <c r="C1174" s="51"/>
      <c r="D1174" s="51"/>
      <c r="E1174" s="51"/>
      <c r="F1174" s="51"/>
      <c r="G1174" s="51"/>
      <c r="H1174" s="51"/>
    </row>
    <row r="1175" spans="1:10" s="2" customFormat="1" ht="14.1" customHeight="1">
      <c r="A1175" s="51"/>
      <c r="B1175" s="51"/>
      <c r="C1175" s="51"/>
      <c r="D1175" s="51"/>
      <c r="E1175" s="51"/>
      <c r="F1175" s="51"/>
      <c r="G1175" s="51"/>
      <c r="H1175" s="51"/>
    </row>
    <row r="1176" spans="1:10" s="2" customFormat="1" ht="14.1" customHeight="1">
      <c r="A1176" s="1512" t="s">
        <v>34</v>
      </c>
      <c r="B1176" s="1512"/>
      <c r="C1176" s="1512" t="s">
        <v>35</v>
      </c>
      <c r="D1176" s="1512"/>
      <c r="E1176" s="1512"/>
      <c r="F1176" s="51"/>
      <c r="G1176" s="1512" t="s">
        <v>36</v>
      </c>
      <c r="H1176" s="1512"/>
      <c r="J1176" s="2">
        <f>3.1*1362118.39</f>
        <v>4222567.0089999996</v>
      </c>
    </row>
    <row r="1177" spans="1:10" s="2" customFormat="1" ht="14.1" customHeight="1">
      <c r="A1177" s="1509" t="s">
        <v>37</v>
      </c>
      <c r="B1177" s="1509"/>
      <c r="C1177" s="1509" t="s">
        <v>38</v>
      </c>
      <c r="D1177" s="1509"/>
      <c r="E1177" s="1509"/>
      <c r="F1177" s="51"/>
      <c r="G1177" s="1509" t="s">
        <v>39</v>
      </c>
      <c r="H1177" s="1509"/>
    </row>
    <row r="1178" spans="1:10" ht="14.1" customHeight="1">
      <c r="A1178" s="5"/>
      <c r="B1178" s="5"/>
      <c r="C1178" s="5"/>
      <c r="D1178" s="5"/>
      <c r="E1178" s="5"/>
      <c r="F1178" s="6"/>
      <c r="G1178" s="5"/>
      <c r="H1178" s="5"/>
    </row>
    <row r="1179" spans="1:10" ht="14.1" customHeight="1">
      <c r="A1179" s="2"/>
      <c r="B1179" s="2"/>
      <c r="C1179" s="2"/>
      <c r="D1179" s="2"/>
      <c r="E1179" s="2"/>
      <c r="F1179" s="2"/>
      <c r="G1179" s="2"/>
      <c r="H1179" s="2"/>
    </row>
    <row r="1180" spans="1:10" ht="14.1" customHeight="1">
      <c r="A1180" s="2"/>
      <c r="B1180" s="2"/>
      <c r="C1180" s="2"/>
      <c r="D1180" s="2"/>
      <c r="E1180" s="2"/>
      <c r="F1180" s="2"/>
      <c r="G1180" s="2"/>
      <c r="H1180" s="2"/>
    </row>
    <row r="1181" spans="1:10" ht="14.1" customHeight="1">
      <c r="A1181" s="2"/>
      <c r="B1181" s="2"/>
      <c r="C1181" s="2"/>
      <c r="D1181" s="2"/>
      <c r="E1181" s="2"/>
      <c r="F1181" s="2"/>
      <c r="G1181" s="2"/>
      <c r="H1181" s="2"/>
    </row>
    <row r="1182" spans="1:10" ht="14.1" customHeight="1">
      <c r="A1182" s="2"/>
      <c r="B1182" s="2"/>
      <c r="C1182" s="2"/>
      <c r="D1182" s="2"/>
      <c r="E1182" s="2"/>
      <c r="F1182" s="2"/>
      <c r="G1182" s="2"/>
      <c r="H1182" s="2"/>
    </row>
    <row r="1183" spans="1:10" ht="14.1" customHeight="1">
      <c r="A1183" s="2"/>
      <c r="B1183" s="2"/>
      <c r="C1183" s="2"/>
      <c r="D1183" s="2"/>
      <c r="E1183" s="2"/>
      <c r="F1183" s="2"/>
      <c r="G1183" s="2"/>
      <c r="H1183" s="2"/>
    </row>
    <row r="1184" spans="1:10" ht="14.1" customHeight="1">
      <c r="A1184" s="2"/>
      <c r="B1184" s="2"/>
      <c r="C1184" s="2"/>
      <c r="D1184" s="2"/>
      <c r="E1184" s="2"/>
      <c r="F1184" s="2"/>
      <c r="G1184" s="2"/>
      <c r="H1184" s="2"/>
    </row>
    <row r="1185" spans="1:10" s="2" customFormat="1" ht="14.1" customHeight="1">
      <c r="A1185" s="1621" t="s">
        <v>40</v>
      </c>
      <c r="B1185" s="1621"/>
      <c r="C1185" s="1621"/>
      <c r="D1185" s="1621"/>
      <c r="E1185" s="1621"/>
      <c r="F1185" s="1621"/>
      <c r="G1185" s="1621"/>
      <c r="H1185" s="1621"/>
    </row>
    <row r="1186" spans="1:10" s="2" customFormat="1" ht="14.1" customHeight="1">
      <c r="A1186" s="1621" t="s">
        <v>41</v>
      </c>
      <c r="B1186" s="1621"/>
      <c r="C1186" s="1621"/>
      <c r="D1186" s="1621"/>
      <c r="E1186" s="1621"/>
      <c r="F1186" s="1621"/>
      <c r="G1186" s="1621"/>
      <c r="H1186" s="1621"/>
    </row>
    <row r="1187" spans="1:10" s="2" customFormat="1" ht="14.1" customHeight="1">
      <c r="A1187" s="1603" t="s">
        <v>42</v>
      </c>
      <c r="B1187" s="1603"/>
      <c r="C1187" s="1603"/>
      <c r="D1187" s="1603"/>
      <c r="E1187" s="1603"/>
      <c r="F1187" s="1603"/>
      <c r="G1187" s="1603"/>
      <c r="H1187" s="1603"/>
    </row>
    <row r="1188" spans="1:10" s="2" customFormat="1" ht="14.1" customHeight="1">
      <c r="A1188" s="7"/>
      <c r="B1188" s="7"/>
      <c r="C1188" s="7"/>
      <c r="D1188" s="7"/>
      <c r="E1188" s="7"/>
      <c r="F1188" s="7"/>
      <c r="G1188" s="7"/>
      <c r="H1188" s="7"/>
    </row>
    <row r="1189" spans="1:10" s="2" customFormat="1" ht="14.1" customHeight="1" thickBot="1">
      <c r="A1189" s="7"/>
      <c r="B1189" s="7"/>
      <c r="C1189" s="7"/>
      <c r="D1189" s="7"/>
      <c r="E1189" s="7"/>
      <c r="F1189" s="7"/>
      <c r="G1189" s="7"/>
      <c r="H1189" s="7"/>
    </row>
    <row r="1190" spans="1:10" s="2" customFormat="1" ht="14.1" customHeight="1">
      <c r="A1190" s="1538" t="s">
        <v>3</v>
      </c>
      <c r="B1190" s="1540" t="s">
        <v>4</v>
      </c>
      <c r="C1190" s="1540" t="s">
        <v>5</v>
      </c>
      <c r="D1190" s="1540" t="s">
        <v>6</v>
      </c>
      <c r="E1190" s="1540" t="s">
        <v>7</v>
      </c>
      <c r="F1190" s="8" t="s">
        <v>8</v>
      </c>
      <c r="G1190" s="8" t="s">
        <v>9</v>
      </c>
      <c r="H1190" s="9" t="s">
        <v>10</v>
      </c>
    </row>
    <row r="1191" spans="1:10" s="2" customFormat="1" ht="14.1" customHeight="1">
      <c r="A1191" s="1539"/>
      <c r="B1191" s="1517"/>
      <c r="C1191" s="1517"/>
      <c r="D1191" s="1517"/>
      <c r="E1191" s="1517"/>
      <c r="F1191" s="10" t="s">
        <v>11</v>
      </c>
      <c r="G1191" s="10" t="s">
        <v>11</v>
      </c>
      <c r="H1191" s="11" t="s">
        <v>11</v>
      </c>
    </row>
    <row r="1192" spans="1:10" s="2" customFormat="1" ht="14.1" customHeight="1">
      <c r="A1192" s="52"/>
      <c r="B1192" s="53"/>
      <c r="C1192" s="54"/>
      <c r="D1192" s="54"/>
      <c r="E1192" s="54"/>
      <c r="F1192" s="54"/>
      <c r="G1192" s="54"/>
      <c r="H1192" s="55"/>
      <c r="J1192" s="2">
        <f>0.617*1362118.39</f>
        <v>840427.04662999988</v>
      </c>
    </row>
    <row r="1193" spans="1:10" s="2" customFormat="1" ht="14.1" customHeight="1">
      <c r="A1193" s="52" t="s">
        <v>12</v>
      </c>
      <c r="B1193" s="53" t="s">
        <v>19</v>
      </c>
      <c r="C1193" s="56"/>
      <c r="D1193" s="56"/>
      <c r="E1193" s="56"/>
      <c r="F1193" s="56"/>
      <c r="G1193" s="56"/>
      <c r="H1193" s="57"/>
    </row>
    <row r="1194" spans="1:10" s="2" customFormat="1" ht="14.1" customHeight="1">
      <c r="A1194" s="52"/>
      <c r="B1194" s="581" t="s">
        <v>43</v>
      </c>
      <c r="C1194" s="59">
        <v>1</v>
      </c>
      <c r="D1194" s="56" t="s">
        <v>44</v>
      </c>
      <c r="E1194" s="56" t="s">
        <v>16</v>
      </c>
      <c r="F1194" s="60">
        <v>900000</v>
      </c>
      <c r="G1194" s="60">
        <f>C1194*F1194</f>
        <v>900000</v>
      </c>
      <c r="H1194" s="61"/>
    </row>
    <row r="1195" spans="1:10" s="2" customFormat="1" ht="14.1" customHeight="1">
      <c r="A1195" s="52"/>
      <c r="B1195" s="58" t="s">
        <v>45</v>
      </c>
      <c r="C1195" s="59"/>
      <c r="D1195" s="56"/>
      <c r="E1195" s="56"/>
      <c r="F1195" s="60"/>
      <c r="G1195" s="60"/>
      <c r="H1195" s="61"/>
    </row>
    <row r="1196" spans="1:10" s="2" customFormat="1" ht="14.1" customHeight="1">
      <c r="A1196" s="52"/>
      <c r="B1196" s="581" t="s">
        <v>46</v>
      </c>
      <c r="C1196" s="59">
        <v>60</v>
      </c>
      <c r="D1196" s="56" t="s">
        <v>47</v>
      </c>
      <c r="E1196" s="56" t="s">
        <v>16</v>
      </c>
      <c r="F1196" s="60">
        <v>2800</v>
      </c>
      <c r="G1196" s="60">
        <f>C1196*F1196</f>
        <v>168000</v>
      </c>
      <c r="H1196" s="62"/>
    </row>
    <row r="1197" spans="1:10" ht="14.1" customHeight="1">
      <c r="A1197" s="52"/>
      <c r="B1197" s="581" t="s">
        <v>48</v>
      </c>
      <c r="C1197" s="59">
        <v>1</v>
      </c>
      <c r="D1197" s="56" t="s">
        <v>21</v>
      </c>
      <c r="E1197" s="56" t="s">
        <v>16</v>
      </c>
      <c r="F1197" s="60">
        <v>850000</v>
      </c>
      <c r="G1197" s="60">
        <f>C1197*F1197</f>
        <v>850000</v>
      </c>
      <c r="H1197" s="61"/>
    </row>
    <row r="1198" spans="1:10" ht="14.1" customHeight="1">
      <c r="A1198" s="52"/>
      <c r="B1198" s="58" t="s">
        <v>49</v>
      </c>
      <c r="C1198" s="59"/>
      <c r="D1198" s="56"/>
      <c r="E1198" s="56"/>
      <c r="F1198" s="60"/>
      <c r="G1198" s="60"/>
      <c r="H1198" s="61"/>
    </row>
    <row r="1199" spans="1:10" ht="14.1" customHeight="1">
      <c r="A1199" s="52"/>
      <c r="B1199" s="581" t="s">
        <v>50</v>
      </c>
      <c r="C1199" s="59">
        <v>1</v>
      </c>
      <c r="D1199" s="56" t="s">
        <v>21</v>
      </c>
      <c r="E1199" s="56" t="s">
        <v>51</v>
      </c>
      <c r="F1199" s="60">
        <v>800000</v>
      </c>
      <c r="G1199" s="60">
        <f>C1199*F1199</f>
        <v>800000</v>
      </c>
      <c r="H1199" s="61"/>
    </row>
    <row r="1200" spans="1:10" ht="14.1" customHeight="1">
      <c r="A1200" s="52"/>
      <c r="B1200" s="581" t="s">
        <v>52</v>
      </c>
      <c r="C1200" s="59">
        <v>1</v>
      </c>
      <c r="D1200" s="56" t="s">
        <v>21</v>
      </c>
      <c r="E1200" s="56" t="s">
        <v>51</v>
      </c>
      <c r="F1200" s="60">
        <v>700000</v>
      </c>
      <c r="G1200" s="60">
        <f>C1200*F1200</f>
        <v>700000</v>
      </c>
      <c r="H1200" s="61"/>
    </row>
    <row r="1201" spans="1:8" ht="14.1" customHeight="1" thickBot="1">
      <c r="A1201" s="63"/>
      <c r="B1201" s="64"/>
      <c r="C1201" s="65"/>
      <c r="D1201" s="56"/>
      <c r="E1201" s="56"/>
      <c r="F1201" s="66"/>
      <c r="G1201" s="67"/>
      <c r="H1201" s="68"/>
    </row>
    <row r="1202" spans="1:8" ht="14.1" customHeight="1">
      <c r="A1202" s="27"/>
      <c r="B1202" s="28"/>
      <c r="C1202" s="29"/>
      <c r="D1202" s="30"/>
      <c r="E1202" s="30"/>
      <c r="F1202" s="30" t="s">
        <v>53</v>
      </c>
      <c r="G1202" s="31"/>
      <c r="H1202" s="32">
        <f>SUM(G1194:G1200)</f>
        <v>3418000</v>
      </c>
    </row>
    <row r="1203" spans="1:8" ht="16.2" thickBot="1">
      <c r="A1203" s="33"/>
      <c r="B1203" s="34"/>
      <c r="C1203" s="35"/>
      <c r="D1203" s="35"/>
      <c r="E1203" s="36"/>
      <c r="F1203" s="37" t="s">
        <v>26</v>
      </c>
      <c r="G1203" s="38"/>
      <c r="H1203" s="69">
        <f>H1202*10%</f>
        <v>341800</v>
      </c>
    </row>
    <row r="1204" spans="1:8" ht="15.6">
      <c r="A1204" s="40" t="s">
        <v>27</v>
      </c>
      <c r="B1204" s="41"/>
      <c r="C1204" s="41"/>
      <c r="D1204" s="41"/>
      <c r="E1204" s="41"/>
      <c r="F1204" s="70" t="s">
        <v>28</v>
      </c>
      <c r="G1204" s="43"/>
      <c r="H1204" s="32">
        <f>H1202+H1203</f>
        <v>3759800</v>
      </c>
    </row>
    <row r="1205" spans="1:8" ht="16.2" thickBot="1">
      <c r="A1205" s="44"/>
      <c r="B1205" s="71" t="s">
        <v>54</v>
      </c>
      <c r="C1205" s="45"/>
      <c r="D1205" s="45"/>
      <c r="E1205" s="45"/>
      <c r="F1205" s="72" t="s">
        <v>30</v>
      </c>
      <c r="G1205" s="47"/>
      <c r="H1205" s="48">
        <f>ROUND(H1204,-2)</f>
        <v>3759800</v>
      </c>
    </row>
    <row r="1206" spans="1:8" ht="15.6">
      <c r="A1206" s="49"/>
      <c r="B1206" s="49"/>
      <c r="C1206" s="49"/>
      <c r="D1206" s="49"/>
      <c r="E1206" s="49"/>
      <c r="F1206" s="49"/>
      <c r="G1206" s="49"/>
      <c r="H1206" s="50"/>
    </row>
    <row r="1207" spans="1:8" ht="15.6">
      <c r="A1207" s="51"/>
      <c r="B1207" s="51"/>
      <c r="C1207" s="51"/>
      <c r="D1207" s="51"/>
      <c r="E1207" s="51"/>
      <c r="F1207" s="51"/>
      <c r="G1207" s="1509" t="s">
        <v>55</v>
      </c>
      <c r="H1207" s="1509"/>
    </row>
    <row r="1208" spans="1:8" ht="15.6">
      <c r="A1208" s="1509" t="s">
        <v>31</v>
      </c>
      <c r="B1208" s="1509"/>
      <c r="C1208" s="1509" t="s">
        <v>32</v>
      </c>
      <c r="D1208" s="1509"/>
      <c r="E1208" s="1509"/>
      <c r="F1208" s="51"/>
      <c r="G1208" s="1509" t="s">
        <v>33</v>
      </c>
      <c r="H1208" s="1509"/>
    </row>
    <row r="1209" spans="1:8" ht="15.6">
      <c r="A1209" s="51"/>
      <c r="B1209" s="51"/>
      <c r="C1209" s="51"/>
      <c r="D1209" s="51"/>
      <c r="E1209" s="51"/>
      <c r="F1209" s="51"/>
      <c r="G1209" s="51"/>
      <c r="H1209" s="51"/>
    </row>
    <row r="1210" spans="1:8" ht="15.6">
      <c r="A1210" s="51"/>
      <c r="B1210" s="51"/>
      <c r="C1210" s="51"/>
      <c r="D1210" s="51"/>
      <c r="E1210" s="51"/>
      <c r="F1210" s="51"/>
      <c r="G1210" s="51"/>
      <c r="H1210" s="51"/>
    </row>
    <row r="1211" spans="1:8" ht="15.6">
      <c r="A1211" s="51"/>
      <c r="B1211" s="51"/>
      <c r="C1211" s="51"/>
      <c r="D1211" s="51"/>
      <c r="E1211" s="51"/>
      <c r="F1211" s="51"/>
      <c r="G1211" s="51"/>
      <c r="H1211" s="51"/>
    </row>
    <row r="1212" spans="1:8" ht="15.6">
      <c r="A1212" s="1512" t="s">
        <v>34</v>
      </c>
      <c r="B1212" s="1512"/>
      <c r="C1212" s="1512" t="s">
        <v>35</v>
      </c>
      <c r="D1212" s="1512"/>
      <c r="E1212" s="1512"/>
      <c r="F1212" s="51"/>
      <c r="G1212" s="1512" t="s">
        <v>36</v>
      </c>
      <c r="H1212" s="1512"/>
    </row>
    <row r="1213" spans="1:8" ht="15.6">
      <c r="A1213" s="1509" t="s">
        <v>37</v>
      </c>
      <c r="B1213" s="1509"/>
      <c r="C1213" s="1509" t="s">
        <v>38</v>
      </c>
      <c r="D1213" s="1509"/>
      <c r="E1213" s="1509"/>
      <c r="F1213" s="51"/>
      <c r="G1213" s="1509" t="s">
        <v>39</v>
      </c>
      <c r="H1213" s="1509"/>
    </row>
    <row r="1214" spans="1:8">
      <c r="A1214" s="2"/>
      <c r="B1214" s="2"/>
      <c r="C1214" s="2"/>
      <c r="D1214" s="2"/>
      <c r="E1214" s="2"/>
      <c r="F1214" s="2"/>
      <c r="G1214" s="2"/>
      <c r="H1214" s="2"/>
    </row>
    <row r="1222" spans="1:8" ht="18">
      <c r="A1222" s="1621" t="s">
        <v>56</v>
      </c>
      <c r="B1222" s="1621"/>
      <c r="C1222" s="1621"/>
      <c r="D1222" s="1621"/>
      <c r="E1222" s="1621"/>
      <c r="F1222" s="1621"/>
      <c r="G1222" s="1621"/>
      <c r="H1222" s="1621"/>
    </row>
    <row r="1223" spans="1:8" ht="18">
      <c r="A1223" s="1621" t="s">
        <v>57</v>
      </c>
      <c r="B1223" s="1621"/>
      <c r="C1223" s="1621"/>
      <c r="D1223" s="1621"/>
      <c r="E1223" s="1621"/>
      <c r="F1223" s="1621"/>
      <c r="G1223" s="1621"/>
      <c r="H1223" s="1621"/>
    </row>
    <row r="1224" spans="1:8" ht="15.6">
      <c r="A1224" s="1603" t="s">
        <v>58</v>
      </c>
      <c r="B1224" s="1603"/>
      <c r="C1224" s="1603"/>
      <c r="D1224" s="1603"/>
      <c r="E1224" s="1603"/>
      <c r="F1224" s="1603"/>
      <c r="G1224" s="1603"/>
      <c r="H1224" s="1603"/>
    </row>
    <row r="1225" spans="1:8">
      <c r="A1225" s="7"/>
      <c r="B1225" s="7"/>
      <c r="C1225" s="7"/>
      <c r="D1225" s="7"/>
      <c r="E1225" s="7"/>
      <c r="F1225" s="7"/>
      <c r="G1225" s="7"/>
      <c r="H1225" s="7"/>
    </row>
    <row r="1226" spans="1:8" ht="12.6" thickBot="1">
      <c r="A1226" s="7"/>
      <c r="B1226" s="7"/>
      <c r="C1226" s="7"/>
      <c r="D1226" s="7"/>
      <c r="E1226" s="7"/>
      <c r="F1226" s="7"/>
      <c r="G1226" s="7"/>
      <c r="H1226" s="7"/>
    </row>
    <row r="1227" spans="1:8" ht="15.6">
      <c r="A1227" s="1538" t="s">
        <v>3</v>
      </c>
      <c r="B1227" s="1540" t="s">
        <v>4</v>
      </c>
      <c r="C1227" s="1540" t="s">
        <v>5</v>
      </c>
      <c r="D1227" s="1540" t="s">
        <v>6</v>
      </c>
      <c r="E1227" s="1540" t="s">
        <v>7</v>
      </c>
      <c r="F1227" s="8" t="s">
        <v>8</v>
      </c>
      <c r="G1227" s="8" t="s">
        <v>9</v>
      </c>
      <c r="H1227" s="9" t="s">
        <v>10</v>
      </c>
    </row>
    <row r="1228" spans="1:8" ht="15.6">
      <c r="A1228" s="1539"/>
      <c r="B1228" s="1517"/>
      <c r="C1228" s="1517"/>
      <c r="D1228" s="1517"/>
      <c r="E1228" s="1517"/>
      <c r="F1228" s="10" t="s">
        <v>11</v>
      </c>
      <c r="G1228" s="10" t="s">
        <v>11</v>
      </c>
      <c r="H1228" s="11" t="s">
        <v>11</v>
      </c>
    </row>
    <row r="1229" spans="1:8" ht="15.6">
      <c r="A1229" s="52"/>
      <c r="B1229" s="53"/>
      <c r="C1229" s="54"/>
      <c r="D1229" s="54"/>
      <c r="E1229" s="54"/>
      <c r="F1229" s="54"/>
      <c r="G1229" s="54"/>
      <c r="H1229" s="55"/>
    </row>
    <row r="1230" spans="1:8" ht="15.6">
      <c r="A1230" s="52" t="s">
        <v>12</v>
      </c>
      <c r="B1230" s="53" t="s">
        <v>59</v>
      </c>
      <c r="C1230" s="56"/>
      <c r="D1230" s="56"/>
      <c r="E1230" s="56"/>
      <c r="F1230" s="56"/>
      <c r="G1230" s="56"/>
      <c r="H1230" s="57"/>
    </row>
    <row r="1231" spans="1:8" ht="15.6">
      <c r="A1231" s="52"/>
      <c r="B1231" s="581" t="s">
        <v>60</v>
      </c>
      <c r="C1231" s="59">
        <v>4</v>
      </c>
      <c r="D1231" s="56" t="s">
        <v>61</v>
      </c>
      <c r="E1231" s="56" t="s">
        <v>16</v>
      </c>
      <c r="F1231" s="60">
        <v>1069500</v>
      </c>
      <c r="G1231" s="60">
        <f>C1231*F1231</f>
        <v>4278000</v>
      </c>
      <c r="H1231" s="61"/>
    </row>
    <row r="1232" spans="1:8" ht="15.6">
      <c r="A1232" s="52"/>
      <c r="B1232" s="58" t="s">
        <v>62</v>
      </c>
      <c r="C1232" s="59"/>
      <c r="D1232" s="56"/>
      <c r="E1232" s="56"/>
      <c r="F1232" s="60"/>
      <c r="G1232" s="60"/>
      <c r="H1232" s="62"/>
    </row>
    <row r="1233" spans="1:8" ht="15.6">
      <c r="A1233" s="52"/>
      <c r="B1233" s="581" t="s">
        <v>63</v>
      </c>
      <c r="C1233" s="59">
        <v>4</v>
      </c>
      <c r="D1233" s="56" t="s">
        <v>44</v>
      </c>
      <c r="E1233" s="56" t="s">
        <v>16</v>
      </c>
      <c r="F1233" s="60">
        <v>1369400</v>
      </c>
      <c r="G1233" s="60">
        <f>C1233*F1233</f>
        <v>5477600</v>
      </c>
      <c r="H1233" s="61"/>
    </row>
    <row r="1234" spans="1:8" s="2" customFormat="1" ht="15.6">
      <c r="A1234" s="52"/>
      <c r="B1234" s="58" t="s">
        <v>64</v>
      </c>
      <c r="C1234" s="59"/>
      <c r="D1234" s="56"/>
      <c r="E1234" s="56"/>
      <c r="F1234" s="60"/>
      <c r="G1234" s="60"/>
      <c r="H1234" s="61"/>
    </row>
    <row r="1235" spans="1:8" s="2" customFormat="1" ht="15.6">
      <c r="A1235" s="52"/>
      <c r="B1235" s="581" t="s">
        <v>65</v>
      </c>
      <c r="C1235" s="59">
        <v>1</v>
      </c>
      <c r="D1235" s="56" t="s">
        <v>61</v>
      </c>
      <c r="E1235" s="56" t="s">
        <v>51</v>
      </c>
      <c r="F1235" s="60">
        <v>500000</v>
      </c>
      <c r="G1235" s="60">
        <f>C1235*F1235</f>
        <v>500000</v>
      </c>
      <c r="H1235" s="61"/>
    </row>
    <row r="1236" spans="1:8" s="2" customFormat="1" ht="15.6">
      <c r="A1236" s="52"/>
      <c r="B1236" s="58" t="s">
        <v>66</v>
      </c>
      <c r="C1236" s="59"/>
      <c r="D1236" s="56"/>
      <c r="E1236" s="56"/>
      <c r="F1236" s="60"/>
      <c r="G1236" s="60"/>
      <c r="H1236" s="61"/>
    </row>
    <row r="1237" spans="1:8" s="2" customFormat="1" ht="15.6">
      <c r="A1237" s="52"/>
      <c r="B1237" s="58"/>
      <c r="C1237" s="59"/>
      <c r="D1237" s="56"/>
      <c r="E1237" s="56"/>
      <c r="F1237" s="60"/>
      <c r="G1237" s="60"/>
      <c r="H1237" s="61">
        <f>SUM(G1231:G1236)</f>
        <v>10255600</v>
      </c>
    </row>
    <row r="1238" spans="1:8" s="2" customFormat="1" ht="15.6">
      <c r="A1238" s="52" t="s">
        <v>18</v>
      </c>
      <c r="B1238" s="53" t="s">
        <v>67</v>
      </c>
      <c r="C1238" s="59"/>
      <c r="D1238" s="56"/>
      <c r="E1238" s="56"/>
      <c r="F1238" s="60"/>
      <c r="G1238" s="60"/>
      <c r="H1238" s="61"/>
    </row>
    <row r="1239" spans="1:8" s="2" customFormat="1" ht="15.6">
      <c r="A1239" s="52"/>
      <c r="B1239" s="581" t="s">
        <v>68</v>
      </c>
      <c r="C1239" s="59">
        <v>1</v>
      </c>
      <c r="D1239" s="56" t="s">
        <v>69</v>
      </c>
      <c r="E1239" s="56" t="s">
        <v>51</v>
      </c>
      <c r="F1239" s="60">
        <v>300000</v>
      </c>
      <c r="G1239" s="60">
        <f>C1239*F1239</f>
        <v>300000</v>
      </c>
      <c r="H1239" s="61"/>
    </row>
    <row r="1240" spans="1:8" s="2" customFormat="1" ht="15.6">
      <c r="A1240" s="52"/>
      <c r="B1240" s="58" t="s">
        <v>70</v>
      </c>
      <c r="C1240" s="59"/>
      <c r="D1240" s="56"/>
      <c r="E1240" s="56"/>
      <c r="F1240" s="60"/>
      <c r="G1240" s="60"/>
      <c r="H1240" s="61"/>
    </row>
    <row r="1241" spans="1:8" s="2" customFormat="1" ht="15.6">
      <c r="A1241" s="52"/>
      <c r="B1241" s="581" t="s">
        <v>71</v>
      </c>
      <c r="C1241" s="59">
        <v>1</v>
      </c>
      <c r="D1241" s="56" t="s">
        <v>69</v>
      </c>
      <c r="E1241" s="56" t="s">
        <v>51</v>
      </c>
      <c r="F1241" s="60">
        <v>500000</v>
      </c>
      <c r="G1241" s="60">
        <f>C1241*F1241</f>
        <v>500000</v>
      </c>
      <c r="H1241" s="61"/>
    </row>
    <row r="1242" spans="1:8" s="2" customFormat="1" ht="15.6">
      <c r="A1242" s="52"/>
      <c r="B1242" s="581" t="s">
        <v>72</v>
      </c>
      <c r="C1242" s="59">
        <v>1</v>
      </c>
      <c r="D1242" s="56" t="s">
        <v>69</v>
      </c>
      <c r="E1242" s="56" t="s">
        <v>51</v>
      </c>
      <c r="F1242" s="60">
        <v>250000</v>
      </c>
      <c r="G1242" s="60">
        <f>C1242*F1242</f>
        <v>250000</v>
      </c>
      <c r="H1242" s="61"/>
    </row>
    <row r="1243" spans="1:8" s="2" customFormat="1" ht="15.6">
      <c r="A1243" s="52"/>
      <c r="B1243" s="58"/>
      <c r="C1243" s="59"/>
      <c r="D1243" s="56"/>
      <c r="E1243" s="56"/>
      <c r="F1243" s="60"/>
      <c r="G1243" s="60"/>
      <c r="H1243" s="61">
        <f>SUM(G1239:G1242)</f>
        <v>1050000</v>
      </c>
    </row>
    <row r="1244" spans="1:8" s="2" customFormat="1" ht="15.6">
      <c r="A1244" s="52" t="s">
        <v>73</v>
      </c>
      <c r="B1244" s="53" t="s">
        <v>74</v>
      </c>
      <c r="C1244" s="59"/>
      <c r="D1244" s="56"/>
      <c r="E1244" s="56"/>
      <c r="F1244" s="60"/>
      <c r="G1244" s="60"/>
      <c r="H1244" s="61"/>
    </row>
    <row r="1245" spans="1:8" s="2" customFormat="1" ht="15.6">
      <c r="A1245" s="52"/>
      <c r="B1245" s="581" t="s">
        <v>75</v>
      </c>
      <c r="C1245" s="59">
        <v>1</v>
      </c>
      <c r="D1245" s="56" t="s">
        <v>69</v>
      </c>
      <c r="E1245" s="56" t="s">
        <v>51</v>
      </c>
      <c r="F1245" s="60">
        <v>1500000</v>
      </c>
      <c r="G1245" s="60">
        <f>C1245*F1245</f>
        <v>1500000</v>
      </c>
      <c r="H1245" s="73"/>
    </row>
    <row r="1246" spans="1:8" s="2" customFormat="1" ht="15.6">
      <c r="A1246" s="52"/>
      <c r="B1246" s="581" t="s">
        <v>76</v>
      </c>
      <c r="C1246" s="59">
        <v>2</v>
      </c>
      <c r="D1246" s="56" t="s">
        <v>21</v>
      </c>
      <c r="E1246" s="56" t="s">
        <v>51</v>
      </c>
      <c r="F1246" s="60">
        <v>1500000</v>
      </c>
      <c r="G1246" s="60">
        <f>C1246*F1246</f>
        <v>3000000</v>
      </c>
      <c r="H1246" s="73"/>
    </row>
    <row r="1247" spans="1:8" ht="15.6">
      <c r="A1247" s="52"/>
      <c r="B1247" s="581" t="s">
        <v>77</v>
      </c>
      <c r="C1247" s="59">
        <v>1</v>
      </c>
      <c r="D1247" s="56" t="s">
        <v>21</v>
      </c>
      <c r="E1247" s="56" t="s">
        <v>51</v>
      </c>
      <c r="F1247" s="60">
        <v>1200000</v>
      </c>
      <c r="G1247" s="60">
        <f>C1247*F1247</f>
        <v>1200000</v>
      </c>
      <c r="H1247" s="61"/>
    </row>
    <row r="1248" spans="1:8" ht="15.6">
      <c r="A1248" s="52"/>
      <c r="B1248" s="58"/>
      <c r="C1248" s="59"/>
      <c r="D1248" s="56"/>
      <c r="E1248" s="56"/>
      <c r="F1248" s="60"/>
      <c r="G1248" s="60"/>
      <c r="H1248" s="61">
        <f>SUM(G1245:G1247)</f>
        <v>5700000</v>
      </c>
    </row>
    <row r="1249" spans="1:8" ht="15.6">
      <c r="A1249" s="52" t="s">
        <v>78</v>
      </c>
      <c r="B1249" s="74" t="s">
        <v>79</v>
      </c>
      <c r="C1249" s="59"/>
      <c r="D1249" s="56"/>
      <c r="E1249" s="56"/>
      <c r="F1249" s="60"/>
      <c r="G1249" s="60"/>
      <c r="H1249" s="61"/>
    </row>
    <row r="1250" spans="1:8" ht="15.6">
      <c r="A1250" s="52"/>
      <c r="B1250" s="581" t="s">
        <v>80</v>
      </c>
      <c r="C1250" s="59">
        <v>1392</v>
      </c>
      <c r="D1250" s="56" t="s">
        <v>81</v>
      </c>
      <c r="E1250" s="56" t="s">
        <v>82</v>
      </c>
      <c r="F1250" s="60">
        <v>4786.5</v>
      </c>
      <c r="G1250" s="60">
        <f>C1250*F1250</f>
        <v>6662808</v>
      </c>
      <c r="H1250" s="61"/>
    </row>
    <row r="1251" spans="1:8" ht="15.6">
      <c r="A1251" s="52"/>
      <c r="B1251" s="581" t="s">
        <v>83</v>
      </c>
      <c r="C1251" s="59">
        <v>528</v>
      </c>
      <c r="D1251" s="56" t="s">
        <v>84</v>
      </c>
      <c r="E1251" s="56" t="s">
        <v>82</v>
      </c>
      <c r="F1251" s="60">
        <v>3200.16</v>
      </c>
      <c r="G1251" s="60">
        <f>C1251*F1251</f>
        <v>1689684.48</v>
      </c>
      <c r="H1251" s="61"/>
    </row>
    <row r="1252" spans="1:8" ht="15.6">
      <c r="A1252" s="52"/>
      <c r="B1252" s="581" t="s">
        <v>85</v>
      </c>
      <c r="C1252" s="59">
        <v>2784</v>
      </c>
      <c r="D1252" s="56" t="s">
        <v>84</v>
      </c>
      <c r="E1252" s="56" t="s">
        <v>82</v>
      </c>
      <c r="F1252" s="60">
        <v>3200.16</v>
      </c>
      <c r="G1252" s="60">
        <f>C1252*F1252</f>
        <v>8909245.4399999995</v>
      </c>
      <c r="H1252" s="61"/>
    </row>
    <row r="1253" spans="1:8" ht="15.6">
      <c r="A1253" s="52"/>
      <c r="B1253" s="581" t="s">
        <v>86</v>
      </c>
      <c r="C1253" s="59">
        <v>417</v>
      </c>
      <c r="D1253" s="56" t="s">
        <v>81</v>
      </c>
      <c r="E1253" s="56" t="s">
        <v>87</v>
      </c>
      <c r="F1253" s="60">
        <v>51729.21</v>
      </c>
      <c r="G1253" s="60">
        <f>C1253*F1253</f>
        <v>21571080.57</v>
      </c>
      <c r="H1253" s="61"/>
    </row>
    <row r="1254" spans="1:8" ht="15.6">
      <c r="A1254" s="52"/>
      <c r="B1254" s="58"/>
      <c r="C1254" s="59"/>
      <c r="D1254" s="56"/>
      <c r="E1254" s="56"/>
      <c r="F1254" s="60"/>
      <c r="G1254" s="60"/>
      <c r="H1254" s="61">
        <f>SUM(G1250:G1253)</f>
        <v>38832818.490000002</v>
      </c>
    </row>
    <row r="1255" spans="1:8" ht="16.2" thickBot="1">
      <c r="A1255" s="63"/>
      <c r="B1255" s="64"/>
      <c r="C1255" s="65"/>
      <c r="D1255" s="56"/>
      <c r="E1255" s="56"/>
      <c r="F1255" s="66"/>
      <c r="G1255" s="67"/>
      <c r="H1255" s="68"/>
    </row>
    <row r="1256" spans="1:8" ht="15.6">
      <c r="A1256" s="27"/>
      <c r="B1256" s="28"/>
      <c r="C1256" s="29"/>
      <c r="D1256" s="30"/>
      <c r="E1256" s="30"/>
      <c r="F1256" s="30" t="s">
        <v>53</v>
      </c>
      <c r="G1256" s="31"/>
      <c r="H1256" s="32">
        <f>SUM(H1229:H1255)</f>
        <v>55838418.490000002</v>
      </c>
    </row>
    <row r="1257" spans="1:8" ht="16.2" thickBot="1">
      <c r="A1257" s="33"/>
      <c r="B1257" s="34"/>
      <c r="C1257" s="35"/>
      <c r="D1257" s="35"/>
      <c r="E1257" s="36"/>
      <c r="F1257" s="37" t="s">
        <v>26</v>
      </c>
      <c r="G1257" s="38"/>
      <c r="H1257" s="69">
        <f>H1256*10%</f>
        <v>5583841.8490000004</v>
      </c>
    </row>
    <row r="1258" spans="1:8" ht="15.6">
      <c r="A1258" s="40" t="s">
        <v>27</v>
      </c>
      <c r="B1258" s="41"/>
      <c r="C1258" s="41"/>
      <c r="D1258" s="41"/>
      <c r="E1258" s="41"/>
      <c r="F1258" s="70" t="s">
        <v>28</v>
      </c>
      <c r="G1258" s="43"/>
      <c r="H1258" s="32">
        <f>H1256+H1257</f>
        <v>61422260.339000002</v>
      </c>
    </row>
    <row r="1259" spans="1:8" ht="16.2" thickBot="1">
      <c r="A1259" s="44"/>
      <c r="B1259" s="71" t="s">
        <v>88</v>
      </c>
      <c r="C1259" s="45"/>
      <c r="D1259" s="45"/>
      <c r="E1259" s="45"/>
      <c r="F1259" s="72" t="s">
        <v>30</v>
      </c>
      <c r="G1259" s="47"/>
      <c r="H1259" s="48">
        <f>ROUND(H1258,-2)</f>
        <v>61422300</v>
      </c>
    </row>
    <row r="1260" spans="1:8" ht="15.6">
      <c r="A1260" s="49"/>
      <c r="B1260" s="49"/>
      <c r="C1260" s="49"/>
      <c r="D1260" s="49"/>
      <c r="E1260" s="49"/>
      <c r="F1260" s="49"/>
      <c r="G1260" s="49"/>
      <c r="H1260" s="50"/>
    </row>
    <row r="1261" spans="1:8" ht="15.6">
      <c r="A1261" s="51"/>
      <c r="B1261" s="51"/>
      <c r="C1261" s="51"/>
      <c r="D1261" s="51"/>
      <c r="E1261" s="51"/>
      <c r="F1261" s="51"/>
      <c r="G1261" s="1509" t="s">
        <v>89</v>
      </c>
      <c r="H1261" s="1509"/>
    </row>
    <row r="1262" spans="1:8" s="2" customFormat="1" ht="15.6">
      <c r="A1262" s="1509" t="s">
        <v>31</v>
      </c>
      <c r="B1262" s="1509"/>
      <c r="C1262" s="1509" t="s">
        <v>32</v>
      </c>
      <c r="D1262" s="1509"/>
      <c r="E1262" s="1509"/>
      <c r="F1262" s="51"/>
      <c r="G1262" s="1509" t="s">
        <v>33</v>
      </c>
      <c r="H1262" s="1509"/>
    </row>
    <row r="1263" spans="1:8" s="2" customFormat="1" ht="15.6">
      <c r="A1263" s="51"/>
      <c r="B1263" s="51"/>
      <c r="C1263" s="51"/>
      <c r="D1263" s="51"/>
      <c r="E1263" s="51"/>
      <c r="F1263" s="51"/>
      <c r="G1263" s="51"/>
      <c r="H1263" s="51"/>
    </row>
    <row r="1264" spans="1:8" s="2" customFormat="1" ht="15.6">
      <c r="A1264" s="51"/>
      <c r="B1264" s="51"/>
      <c r="C1264" s="51"/>
      <c r="D1264" s="51"/>
      <c r="E1264" s="51"/>
      <c r="F1264" s="51"/>
      <c r="G1264" s="51"/>
      <c r="H1264" s="51"/>
    </row>
    <row r="1265" spans="1:8" s="2" customFormat="1" ht="15.6">
      <c r="A1265" s="51"/>
      <c r="B1265" s="51"/>
      <c r="C1265" s="51"/>
      <c r="D1265" s="51"/>
      <c r="E1265" s="51"/>
      <c r="F1265" s="51"/>
      <c r="G1265" s="51"/>
      <c r="H1265" s="51"/>
    </row>
    <row r="1266" spans="1:8" s="2" customFormat="1" ht="15.6">
      <c r="A1266" s="1512" t="s">
        <v>34</v>
      </c>
      <c r="B1266" s="1512"/>
      <c r="C1266" s="1512" t="s">
        <v>35</v>
      </c>
      <c r="D1266" s="1512"/>
      <c r="E1266" s="1512"/>
      <c r="F1266" s="51"/>
      <c r="G1266" s="1512" t="s">
        <v>36</v>
      </c>
      <c r="H1266" s="1512"/>
    </row>
    <row r="1267" spans="1:8" s="2" customFormat="1" ht="15.6">
      <c r="A1267" s="1509" t="s">
        <v>37</v>
      </c>
      <c r="B1267" s="1509"/>
      <c r="C1267" s="1509" t="s">
        <v>38</v>
      </c>
      <c r="D1267" s="1509"/>
      <c r="E1267" s="1509"/>
      <c r="F1267" s="51"/>
      <c r="G1267" s="1509" t="s">
        <v>39</v>
      </c>
      <c r="H1267" s="1509"/>
    </row>
    <row r="1270" spans="1:8">
      <c r="A1270" s="2"/>
      <c r="B1270" s="2"/>
      <c r="C1270" s="2"/>
      <c r="D1270" s="2"/>
      <c r="E1270" s="2"/>
      <c r="F1270" s="2"/>
      <c r="G1270" s="2"/>
      <c r="H1270" s="2"/>
    </row>
    <row r="1271" spans="1:8" ht="18">
      <c r="A1271" s="1621" t="s">
        <v>56</v>
      </c>
      <c r="B1271" s="1621"/>
      <c r="C1271" s="1621"/>
      <c r="D1271" s="1621"/>
      <c r="E1271" s="1621"/>
      <c r="F1271" s="1621"/>
      <c r="G1271" s="1621"/>
      <c r="H1271" s="1621"/>
    </row>
    <row r="1272" spans="1:8" ht="18">
      <c r="A1272" s="1621" t="s">
        <v>90</v>
      </c>
      <c r="B1272" s="1621"/>
      <c r="C1272" s="1621"/>
      <c r="D1272" s="1621"/>
      <c r="E1272" s="1621"/>
      <c r="F1272" s="1621"/>
      <c r="G1272" s="1621"/>
      <c r="H1272" s="1621"/>
    </row>
    <row r="1273" spans="1:8" ht="15.6">
      <c r="A1273" s="1603" t="s">
        <v>91</v>
      </c>
      <c r="B1273" s="1603"/>
      <c r="C1273" s="1603"/>
      <c r="D1273" s="1603"/>
      <c r="E1273" s="1603"/>
      <c r="F1273" s="1603"/>
      <c r="G1273" s="1603"/>
      <c r="H1273" s="1603"/>
    </row>
    <row r="1274" spans="1:8">
      <c r="A1274" s="7"/>
      <c r="B1274" s="7"/>
      <c r="C1274" s="7"/>
      <c r="D1274" s="7"/>
      <c r="E1274" s="7"/>
      <c r="F1274" s="7"/>
      <c r="G1274" s="7"/>
      <c r="H1274" s="7"/>
    </row>
    <row r="1275" spans="1:8" ht="12.6" thickBot="1">
      <c r="A1275" s="7"/>
      <c r="B1275" s="7"/>
      <c r="C1275" s="7"/>
      <c r="D1275" s="7"/>
      <c r="E1275" s="7"/>
      <c r="F1275" s="7"/>
      <c r="G1275" s="7"/>
      <c r="H1275" s="7"/>
    </row>
    <row r="1276" spans="1:8" ht="15.6">
      <c r="A1276" s="1538" t="s">
        <v>3</v>
      </c>
      <c r="B1276" s="1540" t="s">
        <v>4</v>
      </c>
      <c r="C1276" s="1540" t="s">
        <v>5</v>
      </c>
      <c r="D1276" s="1540" t="s">
        <v>6</v>
      </c>
      <c r="E1276" s="1540" t="s">
        <v>7</v>
      </c>
      <c r="F1276" s="8" t="s">
        <v>8</v>
      </c>
      <c r="G1276" s="8" t="s">
        <v>9</v>
      </c>
      <c r="H1276" s="9" t="s">
        <v>10</v>
      </c>
    </row>
    <row r="1277" spans="1:8" ht="15.6">
      <c r="A1277" s="1539"/>
      <c r="B1277" s="1517"/>
      <c r="C1277" s="1517"/>
      <c r="D1277" s="1517"/>
      <c r="E1277" s="1517"/>
      <c r="F1277" s="10" t="s">
        <v>11</v>
      </c>
      <c r="G1277" s="10" t="s">
        <v>11</v>
      </c>
      <c r="H1277" s="11" t="s">
        <v>11</v>
      </c>
    </row>
    <row r="1278" spans="1:8" ht="15.6">
      <c r="A1278" s="52"/>
      <c r="B1278" s="53"/>
      <c r="C1278" s="54"/>
      <c r="D1278" s="54"/>
      <c r="E1278" s="54"/>
      <c r="F1278" s="54"/>
      <c r="G1278" s="54"/>
      <c r="H1278" s="55"/>
    </row>
    <row r="1279" spans="1:8" ht="15.6">
      <c r="A1279" s="52" t="s">
        <v>12</v>
      </c>
      <c r="B1279" s="53" t="s">
        <v>19</v>
      </c>
      <c r="C1279" s="56"/>
      <c r="D1279" s="56"/>
      <c r="E1279" s="56"/>
      <c r="F1279" s="56"/>
      <c r="G1279" s="56"/>
      <c r="H1279" s="57"/>
    </row>
    <row r="1280" spans="1:8" ht="15.6">
      <c r="A1280" s="52"/>
      <c r="B1280" s="581" t="s">
        <v>92</v>
      </c>
      <c r="C1280" s="59">
        <v>1</v>
      </c>
      <c r="D1280" s="56" t="s">
        <v>44</v>
      </c>
      <c r="E1280" s="56" t="s">
        <v>82</v>
      </c>
      <c r="F1280" s="60">
        <v>1445499</v>
      </c>
      <c r="G1280" s="60">
        <f>C1280*F1280</f>
        <v>1445499</v>
      </c>
      <c r="H1280" s="61"/>
    </row>
    <row r="1281" spans="1:8" ht="15.6">
      <c r="A1281" s="52"/>
      <c r="B1281" s="581" t="s">
        <v>93</v>
      </c>
      <c r="C1281" s="59">
        <v>1</v>
      </c>
      <c r="D1281" s="56" t="s">
        <v>44</v>
      </c>
      <c r="E1281" s="56" t="s">
        <v>82</v>
      </c>
      <c r="F1281" s="60">
        <v>648855</v>
      </c>
      <c r="G1281" s="60">
        <f>C1281*F1281</f>
        <v>648855</v>
      </c>
      <c r="H1281" s="62"/>
    </row>
    <row r="1282" spans="1:8" ht="15.6">
      <c r="A1282" s="52"/>
      <c r="B1282" s="581" t="s">
        <v>94</v>
      </c>
      <c r="C1282" s="59">
        <v>1</v>
      </c>
      <c r="D1282" s="56" t="s">
        <v>44</v>
      </c>
      <c r="E1282" s="56" t="s">
        <v>82</v>
      </c>
      <c r="F1282" s="60">
        <v>282240</v>
      </c>
      <c r="G1282" s="60">
        <f>C1282*F1282</f>
        <v>282240</v>
      </c>
      <c r="H1282" s="61"/>
    </row>
    <row r="1283" spans="1:8" ht="15.6">
      <c r="A1283" s="52"/>
      <c r="B1283" s="581" t="s">
        <v>95</v>
      </c>
      <c r="C1283" s="59">
        <v>2</v>
      </c>
      <c r="D1283" s="56" t="s">
        <v>69</v>
      </c>
      <c r="E1283" s="56" t="s">
        <v>51</v>
      </c>
      <c r="F1283" s="60">
        <v>200000</v>
      </c>
      <c r="G1283" s="60">
        <f>C1283*F1283</f>
        <v>400000</v>
      </c>
      <c r="H1283" s="61"/>
    </row>
    <row r="1284" spans="1:8" ht="16.2" thickBot="1">
      <c r="A1284" s="63"/>
      <c r="B1284" s="64"/>
      <c r="C1284" s="65"/>
      <c r="D1284" s="56"/>
      <c r="E1284" s="56"/>
      <c r="F1284" s="66"/>
      <c r="G1284" s="67"/>
      <c r="H1284" s="68"/>
    </row>
    <row r="1285" spans="1:8" ht="15.6">
      <c r="A1285" s="27"/>
      <c r="B1285" s="28"/>
      <c r="C1285" s="29"/>
      <c r="D1285" s="30"/>
      <c r="E1285" s="30"/>
      <c r="F1285" s="30" t="s">
        <v>53</v>
      </c>
      <c r="G1285" s="31"/>
      <c r="H1285" s="32">
        <f>SUM(G1280:G1283)</f>
        <v>2776594</v>
      </c>
    </row>
    <row r="1286" spans="1:8" ht="16.2" thickBot="1">
      <c r="A1286" s="33"/>
      <c r="B1286" s="34"/>
      <c r="C1286" s="35"/>
      <c r="D1286" s="35"/>
      <c r="E1286" s="36"/>
      <c r="F1286" s="37" t="s">
        <v>26</v>
      </c>
      <c r="G1286" s="38"/>
      <c r="H1286" s="69"/>
    </row>
    <row r="1287" spans="1:8" ht="15.6">
      <c r="A1287" s="40" t="s">
        <v>27</v>
      </c>
      <c r="B1287" s="41"/>
      <c r="C1287" s="41"/>
      <c r="D1287" s="41"/>
      <c r="E1287" s="41"/>
      <c r="F1287" s="70" t="s">
        <v>28</v>
      </c>
      <c r="G1287" s="43"/>
      <c r="H1287" s="32">
        <f>H1285+H1286</f>
        <v>2776594</v>
      </c>
    </row>
    <row r="1288" spans="1:8" ht="16.2" thickBot="1">
      <c r="A1288" s="44"/>
      <c r="B1288" s="71" t="s">
        <v>96</v>
      </c>
      <c r="C1288" s="45"/>
      <c r="D1288" s="45"/>
      <c r="E1288" s="45"/>
      <c r="F1288" s="72" t="s">
        <v>30</v>
      </c>
      <c r="G1288" s="47"/>
      <c r="H1288" s="48">
        <f>ROUND(H1287,-2)</f>
        <v>2776600</v>
      </c>
    </row>
    <row r="1289" spans="1:8" ht="15.6">
      <c r="A1289" s="49"/>
      <c r="B1289" s="49"/>
      <c r="C1289" s="49"/>
      <c r="D1289" s="49"/>
      <c r="E1289" s="49"/>
      <c r="F1289" s="49"/>
      <c r="G1289" s="49"/>
      <c r="H1289" s="50"/>
    </row>
    <row r="1290" spans="1:8" ht="15.6">
      <c r="A1290" s="51"/>
      <c r="B1290" s="51"/>
      <c r="C1290" s="51"/>
      <c r="D1290" s="51"/>
      <c r="E1290" s="51"/>
      <c r="F1290" s="51"/>
      <c r="G1290" s="1509" t="s">
        <v>55</v>
      </c>
      <c r="H1290" s="1509"/>
    </row>
    <row r="1291" spans="1:8" ht="15.6">
      <c r="A1291" s="1509" t="s">
        <v>31</v>
      </c>
      <c r="B1291" s="1509"/>
      <c r="C1291" s="1509" t="s">
        <v>32</v>
      </c>
      <c r="D1291" s="1509"/>
      <c r="E1291" s="1509"/>
      <c r="F1291" s="51"/>
      <c r="G1291" s="1509" t="s">
        <v>33</v>
      </c>
      <c r="H1291" s="1509"/>
    </row>
    <row r="1292" spans="1:8" ht="15.6">
      <c r="A1292" s="51"/>
      <c r="B1292" s="51"/>
      <c r="C1292" s="51"/>
      <c r="D1292" s="51"/>
      <c r="E1292" s="51"/>
      <c r="F1292" s="51"/>
      <c r="G1292" s="51"/>
      <c r="H1292" s="51"/>
    </row>
    <row r="1293" spans="1:8" ht="15.6">
      <c r="A1293" s="51"/>
      <c r="B1293" s="51"/>
      <c r="C1293" s="51"/>
      <c r="D1293" s="51"/>
      <c r="E1293" s="51"/>
      <c r="F1293" s="51"/>
      <c r="G1293" s="51"/>
      <c r="H1293" s="51"/>
    </row>
    <row r="1294" spans="1:8" ht="15.6">
      <c r="A1294" s="51"/>
      <c r="B1294" s="51"/>
      <c r="C1294" s="51"/>
      <c r="D1294" s="51"/>
      <c r="E1294" s="51"/>
      <c r="F1294" s="51"/>
      <c r="G1294" s="51"/>
      <c r="H1294" s="51"/>
    </row>
    <row r="1295" spans="1:8" ht="15.6">
      <c r="A1295" s="1512" t="s">
        <v>34</v>
      </c>
      <c r="B1295" s="1512"/>
      <c r="C1295" s="1512" t="s">
        <v>35</v>
      </c>
      <c r="D1295" s="1512"/>
      <c r="E1295" s="1512"/>
      <c r="F1295" s="51"/>
      <c r="G1295" s="1512" t="s">
        <v>36</v>
      </c>
      <c r="H1295" s="1512"/>
    </row>
    <row r="1296" spans="1:8" ht="15.6">
      <c r="A1296" s="1509" t="s">
        <v>37</v>
      </c>
      <c r="B1296" s="1509"/>
      <c r="C1296" s="1509" t="s">
        <v>38</v>
      </c>
      <c r="D1296" s="1509"/>
      <c r="E1296" s="1509"/>
      <c r="F1296" s="51"/>
      <c r="G1296" s="1509" t="s">
        <v>39</v>
      </c>
      <c r="H1296" s="1509"/>
    </row>
    <row r="1297" spans="1:8">
      <c r="A1297" s="2"/>
      <c r="B1297" s="2"/>
      <c r="C1297" s="2"/>
      <c r="D1297" s="2"/>
      <c r="E1297" s="2"/>
      <c r="F1297" s="2"/>
      <c r="G1297" s="2"/>
      <c r="H1297" s="2"/>
    </row>
    <row r="1298" spans="1:8">
      <c r="A1298" s="2"/>
      <c r="B1298" s="2"/>
      <c r="C1298" s="2"/>
      <c r="D1298" s="2"/>
      <c r="E1298" s="2"/>
      <c r="F1298" s="2"/>
      <c r="G1298" s="2"/>
      <c r="H1298" s="2"/>
    </row>
    <row r="1300" spans="1:8">
      <c r="A1300" s="2"/>
      <c r="B1300" s="2"/>
      <c r="C1300" s="2"/>
      <c r="D1300" s="2"/>
      <c r="E1300" s="2"/>
      <c r="F1300" s="2"/>
      <c r="G1300" s="2"/>
      <c r="H1300" s="2"/>
    </row>
    <row r="1301" spans="1:8" ht="18">
      <c r="A1301" s="1621" t="s">
        <v>56</v>
      </c>
      <c r="B1301" s="1621"/>
      <c r="C1301" s="1621"/>
      <c r="D1301" s="1621"/>
      <c r="E1301" s="1621"/>
      <c r="F1301" s="1621"/>
      <c r="G1301" s="1621"/>
      <c r="H1301" s="1621"/>
    </row>
    <row r="1302" spans="1:8" ht="18">
      <c r="A1302" s="1621" t="s">
        <v>57</v>
      </c>
      <c r="B1302" s="1621"/>
      <c r="C1302" s="1621"/>
      <c r="D1302" s="1621"/>
      <c r="E1302" s="1621"/>
      <c r="F1302" s="1621"/>
      <c r="G1302" s="1621"/>
      <c r="H1302" s="1621"/>
    </row>
    <row r="1303" spans="1:8" ht="15.6">
      <c r="A1303" s="1603" t="s">
        <v>97</v>
      </c>
      <c r="B1303" s="1603"/>
      <c r="C1303" s="1603"/>
      <c r="D1303" s="1603"/>
      <c r="E1303" s="1603"/>
      <c r="F1303" s="1603"/>
      <c r="G1303" s="1603"/>
      <c r="H1303" s="1603"/>
    </row>
    <row r="1304" spans="1:8">
      <c r="A1304" s="7"/>
      <c r="B1304" s="7"/>
      <c r="C1304" s="7"/>
      <c r="D1304" s="7"/>
      <c r="E1304" s="7"/>
      <c r="F1304" s="7"/>
      <c r="G1304" s="7"/>
      <c r="H1304" s="7"/>
    </row>
    <row r="1305" spans="1:8" ht="12.6" thickBot="1">
      <c r="A1305" s="7"/>
      <c r="B1305" s="7"/>
      <c r="C1305" s="7"/>
      <c r="D1305" s="7"/>
      <c r="E1305" s="7"/>
      <c r="F1305" s="7"/>
      <c r="G1305" s="7"/>
      <c r="H1305" s="7"/>
    </row>
    <row r="1306" spans="1:8" ht="15.6">
      <c r="A1306" s="1538" t="s">
        <v>3</v>
      </c>
      <c r="B1306" s="1540" t="s">
        <v>4</v>
      </c>
      <c r="C1306" s="1540" t="s">
        <v>5</v>
      </c>
      <c r="D1306" s="1540" t="s">
        <v>6</v>
      </c>
      <c r="E1306" s="1540" t="s">
        <v>7</v>
      </c>
      <c r="F1306" s="8" t="s">
        <v>8</v>
      </c>
      <c r="G1306" s="8" t="s">
        <v>9</v>
      </c>
      <c r="H1306" s="9" t="s">
        <v>10</v>
      </c>
    </row>
    <row r="1307" spans="1:8" ht="15.6">
      <c r="A1307" s="1539"/>
      <c r="B1307" s="1517"/>
      <c r="C1307" s="1517"/>
      <c r="D1307" s="1517"/>
      <c r="E1307" s="1517"/>
      <c r="F1307" s="10" t="s">
        <v>11</v>
      </c>
      <c r="G1307" s="10" t="s">
        <v>11</v>
      </c>
      <c r="H1307" s="11" t="s">
        <v>11</v>
      </c>
    </row>
    <row r="1308" spans="1:8" ht="15.6">
      <c r="A1308" s="52"/>
      <c r="B1308" s="53"/>
      <c r="C1308" s="54"/>
      <c r="D1308" s="54"/>
      <c r="E1308" s="54"/>
      <c r="F1308" s="54"/>
      <c r="G1308" s="54"/>
      <c r="H1308" s="55"/>
    </row>
    <row r="1309" spans="1:8" ht="15.6">
      <c r="A1309" s="52" t="s">
        <v>12</v>
      </c>
      <c r="B1309" s="53" t="s">
        <v>59</v>
      </c>
      <c r="C1309" s="56"/>
      <c r="D1309" s="56"/>
      <c r="E1309" s="56"/>
      <c r="F1309" s="56"/>
      <c r="G1309" s="56"/>
      <c r="H1309" s="57"/>
    </row>
    <row r="1310" spans="1:8" ht="15.6">
      <c r="A1310" s="52"/>
      <c r="B1310" s="581" t="s">
        <v>60</v>
      </c>
      <c r="C1310" s="59">
        <v>2</v>
      </c>
      <c r="D1310" s="56" t="s">
        <v>61</v>
      </c>
      <c r="E1310" s="56" t="s">
        <v>16</v>
      </c>
      <c r="F1310" s="60">
        <v>1069500</v>
      </c>
      <c r="G1310" s="60">
        <f>C1310*F1310</f>
        <v>2139000</v>
      </c>
      <c r="H1310" s="61"/>
    </row>
    <row r="1311" spans="1:8" ht="15.6">
      <c r="A1311" s="52"/>
      <c r="B1311" s="58" t="s">
        <v>62</v>
      </c>
      <c r="C1311" s="59"/>
      <c r="D1311" s="56"/>
      <c r="E1311" s="56"/>
      <c r="F1311" s="60"/>
      <c r="G1311" s="60"/>
      <c r="H1311" s="62"/>
    </row>
    <row r="1312" spans="1:8" ht="15.6">
      <c r="A1312" s="52"/>
      <c r="B1312" s="581" t="s">
        <v>63</v>
      </c>
      <c r="C1312" s="59">
        <v>2</v>
      </c>
      <c r="D1312" s="56" t="s">
        <v>44</v>
      </c>
      <c r="E1312" s="56" t="s">
        <v>16</v>
      </c>
      <c r="F1312" s="60">
        <v>1396400</v>
      </c>
      <c r="G1312" s="60">
        <f>C1312*F1312</f>
        <v>2792800</v>
      </c>
      <c r="H1312" s="61"/>
    </row>
    <row r="1313" spans="1:8" ht="15.6">
      <c r="A1313" s="52"/>
      <c r="B1313" s="58" t="s">
        <v>64</v>
      </c>
      <c r="C1313" s="59"/>
      <c r="D1313" s="56"/>
      <c r="E1313" s="56"/>
      <c r="F1313" s="60"/>
      <c r="G1313" s="60"/>
      <c r="H1313" s="61">
        <f>SUM(G1310:G1312)</f>
        <v>4931800</v>
      </c>
    </row>
    <row r="1314" spans="1:8" ht="15.6">
      <c r="A1314" s="52"/>
      <c r="B1314" s="58"/>
      <c r="C1314" s="75"/>
      <c r="D1314" s="56"/>
      <c r="E1314" s="56"/>
      <c r="F1314" s="60"/>
      <c r="G1314" s="60"/>
      <c r="H1314" s="62"/>
    </row>
    <row r="1315" spans="1:8" ht="15.6">
      <c r="A1315" s="52" t="s">
        <v>18</v>
      </c>
      <c r="B1315" s="53" t="s">
        <v>74</v>
      </c>
      <c r="C1315" s="59"/>
      <c r="D1315" s="56"/>
      <c r="E1315" s="56"/>
      <c r="F1315" s="60"/>
      <c r="G1315" s="60"/>
      <c r="H1315" s="61"/>
    </row>
    <row r="1316" spans="1:8" ht="15.6">
      <c r="A1316" s="52"/>
      <c r="B1316" s="581" t="s">
        <v>98</v>
      </c>
      <c r="C1316" s="59">
        <v>1</v>
      </c>
      <c r="D1316" s="56" t="s">
        <v>69</v>
      </c>
      <c r="E1316" s="56" t="s">
        <v>51</v>
      </c>
      <c r="F1316" s="60">
        <v>1500000</v>
      </c>
      <c r="G1316" s="60">
        <f>C1316*F1316</f>
        <v>1500000</v>
      </c>
      <c r="H1316" s="73"/>
    </row>
    <row r="1317" spans="1:8" ht="15.6">
      <c r="A1317" s="52"/>
      <c r="B1317" s="581" t="s">
        <v>76</v>
      </c>
      <c r="C1317" s="59">
        <v>2</v>
      </c>
      <c r="D1317" s="56" t="s">
        <v>21</v>
      </c>
      <c r="E1317" s="56" t="s">
        <v>51</v>
      </c>
      <c r="F1317" s="60">
        <v>1500000</v>
      </c>
      <c r="G1317" s="60">
        <f>C1317*F1317</f>
        <v>3000000</v>
      </c>
      <c r="H1317" s="73"/>
    </row>
    <row r="1318" spans="1:8" ht="15.6">
      <c r="A1318" s="52"/>
      <c r="B1318" s="581" t="s">
        <v>77</v>
      </c>
      <c r="C1318" s="59">
        <v>1</v>
      </c>
      <c r="D1318" s="56" t="s">
        <v>21</v>
      </c>
      <c r="E1318" s="56" t="s">
        <v>51</v>
      </c>
      <c r="F1318" s="60">
        <v>1200000</v>
      </c>
      <c r="G1318" s="60">
        <f>C1318*F1318</f>
        <v>1200000</v>
      </c>
      <c r="H1318" s="61"/>
    </row>
    <row r="1319" spans="1:8" ht="15.6">
      <c r="A1319" s="52"/>
      <c r="B1319" s="58"/>
      <c r="C1319" s="59"/>
      <c r="D1319" s="56"/>
      <c r="E1319" s="56"/>
      <c r="F1319" s="60"/>
      <c r="G1319" s="60"/>
      <c r="H1319" s="61">
        <f>SUM(G1316:G1318)</f>
        <v>5700000</v>
      </c>
    </row>
    <row r="1320" spans="1:8" ht="15.6">
      <c r="A1320" s="52" t="s">
        <v>73</v>
      </c>
      <c r="B1320" s="74" t="s">
        <v>99</v>
      </c>
      <c r="C1320" s="59"/>
      <c r="D1320" s="56"/>
      <c r="E1320" s="56"/>
      <c r="F1320" s="60"/>
      <c r="G1320" s="60"/>
      <c r="H1320" s="61"/>
    </row>
    <row r="1321" spans="1:8" ht="15.6">
      <c r="A1321" s="52"/>
      <c r="B1321" s="581" t="s">
        <v>80</v>
      </c>
      <c r="C1321" s="59">
        <v>450</v>
      </c>
      <c r="D1321" s="56" t="s">
        <v>81</v>
      </c>
      <c r="E1321" s="56" t="s">
        <v>82</v>
      </c>
      <c r="F1321" s="60">
        <v>4786.5</v>
      </c>
      <c r="G1321" s="60">
        <f>C1321*F1321</f>
        <v>2153925</v>
      </c>
      <c r="H1321" s="61"/>
    </row>
    <row r="1322" spans="1:8" ht="15.6">
      <c r="A1322" s="52"/>
      <c r="B1322" s="581" t="s">
        <v>83</v>
      </c>
      <c r="C1322" s="59">
        <v>1300</v>
      </c>
      <c r="D1322" s="56" t="s">
        <v>84</v>
      </c>
      <c r="E1322" s="56" t="s">
        <v>82</v>
      </c>
      <c r="F1322" s="60">
        <v>3200.16</v>
      </c>
      <c r="G1322" s="60">
        <f>C1322*F1322</f>
        <v>4160208</v>
      </c>
      <c r="H1322" s="61"/>
    </row>
    <row r="1323" spans="1:8" ht="15.6">
      <c r="A1323" s="52"/>
      <c r="B1323" s="581" t="s">
        <v>85</v>
      </c>
      <c r="C1323" s="59">
        <v>900</v>
      </c>
      <c r="D1323" s="56" t="s">
        <v>84</v>
      </c>
      <c r="E1323" s="56" t="s">
        <v>82</v>
      </c>
      <c r="F1323" s="60">
        <v>3200.16</v>
      </c>
      <c r="G1323" s="60">
        <f>C1323*F1323</f>
        <v>2880144</v>
      </c>
      <c r="H1323" s="61"/>
    </row>
    <row r="1324" spans="1:8" ht="15.6">
      <c r="A1324" s="52"/>
      <c r="B1324" s="581" t="s">
        <v>86</v>
      </c>
      <c r="C1324" s="59">
        <v>135</v>
      </c>
      <c r="D1324" s="56" t="s">
        <v>81</v>
      </c>
      <c r="E1324" s="56" t="s">
        <v>87</v>
      </c>
      <c r="F1324" s="60">
        <v>51729.21</v>
      </c>
      <c r="G1324" s="60">
        <f>C1324*F1324</f>
        <v>6983443.3499999996</v>
      </c>
      <c r="H1324" s="61"/>
    </row>
    <row r="1325" spans="1:8" ht="15.6">
      <c r="A1325" s="52"/>
      <c r="B1325" s="58"/>
      <c r="C1325" s="59"/>
      <c r="D1325" s="56"/>
      <c r="E1325" s="56"/>
      <c r="F1325" s="60"/>
      <c r="G1325" s="60"/>
      <c r="H1325" s="61">
        <f>SUM(G1321:G1324)</f>
        <v>16177720.35</v>
      </c>
    </row>
    <row r="1326" spans="1:8" ht="16.2" thickBot="1">
      <c r="A1326" s="63"/>
      <c r="B1326" s="64"/>
      <c r="C1326" s="65"/>
      <c r="D1326" s="56"/>
      <c r="E1326" s="56"/>
      <c r="F1326" s="66"/>
      <c r="G1326" s="67"/>
      <c r="H1326" s="68"/>
    </row>
    <row r="1327" spans="1:8" ht="15.6">
      <c r="A1327" s="27"/>
      <c r="B1327" s="28"/>
      <c r="C1327" s="29"/>
      <c r="D1327" s="30"/>
      <c r="E1327" s="30"/>
      <c r="F1327" s="30" t="s">
        <v>53</v>
      </c>
      <c r="G1327" s="31"/>
      <c r="H1327" s="32">
        <f>SUM(H1308:H1326)</f>
        <v>26809520.350000001</v>
      </c>
    </row>
    <row r="1328" spans="1:8" ht="16.2" thickBot="1">
      <c r="A1328" s="33"/>
      <c r="B1328" s="34"/>
      <c r="C1328" s="35"/>
      <c r="D1328" s="35"/>
      <c r="E1328" s="36"/>
      <c r="F1328" s="37" t="s">
        <v>26</v>
      </c>
      <c r="G1328" s="38"/>
      <c r="H1328" s="69">
        <f>H1327*10%</f>
        <v>2680952.0350000001</v>
      </c>
    </row>
    <row r="1329" spans="1:8" ht="15.6">
      <c r="A1329" s="40" t="s">
        <v>27</v>
      </c>
      <c r="B1329" s="41"/>
      <c r="C1329" s="41"/>
      <c r="D1329" s="41"/>
      <c r="E1329" s="41"/>
      <c r="F1329" s="70" t="s">
        <v>28</v>
      </c>
      <c r="G1329" s="43"/>
      <c r="H1329" s="32">
        <f>H1327+H1328</f>
        <v>29490472.385000002</v>
      </c>
    </row>
    <row r="1330" spans="1:8" ht="16.2" thickBot="1">
      <c r="A1330" s="44"/>
      <c r="B1330" s="71" t="s">
        <v>100</v>
      </c>
      <c r="C1330" s="45"/>
      <c r="D1330" s="45"/>
      <c r="E1330" s="45"/>
      <c r="F1330" s="72" t="s">
        <v>30</v>
      </c>
      <c r="G1330" s="47"/>
      <c r="H1330" s="48">
        <f>ROUND(H1329,-2)</f>
        <v>29490500</v>
      </c>
    </row>
    <row r="1331" spans="1:8" ht="15.6">
      <c r="A1331" s="49"/>
      <c r="B1331" s="49"/>
      <c r="C1331" s="49"/>
      <c r="D1331" s="49"/>
      <c r="E1331" s="49"/>
      <c r="F1331" s="49"/>
      <c r="G1331" s="49"/>
      <c r="H1331" s="50"/>
    </row>
    <row r="1332" spans="1:8" ht="15.6">
      <c r="A1332" s="51"/>
      <c r="B1332" s="51"/>
      <c r="C1332" s="51"/>
      <c r="D1332" s="51"/>
      <c r="E1332" s="51"/>
      <c r="F1332" s="51"/>
      <c r="G1332" s="1509" t="s">
        <v>89</v>
      </c>
      <c r="H1332" s="1509"/>
    </row>
    <row r="1333" spans="1:8" ht="15.6">
      <c r="A1333" s="1509" t="s">
        <v>31</v>
      </c>
      <c r="B1333" s="1509"/>
      <c r="C1333" s="1509" t="s">
        <v>32</v>
      </c>
      <c r="D1333" s="1509"/>
      <c r="E1333" s="1509"/>
      <c r="F1333" s="51"/>
      <c r="G1333" s="1509" t="s">
        <v>33</v>
      </c>
      <c r="H1333" s="1509"/>
    </row>
    <row r="1334" spans="1:8" s="2" customFormat="1" ht="15.6">
      <c r="A1334" s="51"/>
      <c r="B1334" s="51"/>
      <c r="C1334" s="51"/>
      <c r="D1334" s="51"/>
      <c r="E1334" s="51"/>
      <c r="F1334" s="51"/>
      <c r="G1334" s="51"/>
      <c r="H1334" s="51"/>
    </row>
    <row r="1335" spans="1:8" ht="15.6">
      <c r="A1335" s="51"/>
      <c r="B1335" s="51"/>
      <c r="C1335" s="51"/>
      <c r="D1335" s="51"/>
      <c r="E1335" s="51"/>
      <c r="F1335" s="51"/>
      <c r="G1335" s="51"/>
      <c r="H1335" s="51"/>
    </row>
    <row r="1336" spans="1:8" ht="15.6">
      <c r="A1336" s="51"/>
      <c r="B1336" s="51"/>
      <c r="C1336" s="51"/>
      <c r="D1336" s="51"/>
      <c r="E1336" s="51"/>
      <c r="F1336" s="51"/>
      <c r="G1336" s="51"/>
      <c r="H1336" s="51"/>
    </row>
    <row r="1337" spans="1:8" ht="15.6">
      <c r="A1337" s="1512" t="s">
        <v>34</v>
      </c>
      <c r="B1337" s="1512"/>
      <c r="C1337" s="1512" t="s">
        <v>35</v>
      </c>
      <c r="D1337" s="1512"/>
      <c r="E1337" s="1512"/>
      <c r="F1337" s="51"/>
      <c r="G1337" s="1512" t="s">
        <v>36</v>
      </c>
      <c r="H1337" s="1512"/>
    </row>
    <row r="1338" spans="1:8" ht="15.6">
      <c r="A1338" s="1509" t="s">
        <v>37</v>
      </c>
      <c r="B1338" s="1509"/>
      <c r="C1338" s="1509" t="s">
        <v>38</v>
      </c>
      <c r="D1338" s="1509"/>
      <c r="E1338" s="1509"/>
      <c r="F1338" s="51"/>
      <c r="G1338" s="1509" t="s">
        <v>39</v>
      </c>
      <c r="H1338" s="1509"/>
    </row>
    <row r="1341" spans="1:8" ht="21">
      <c r="A1341" s="1535" t="s">
        <v>101</v>
      </c>
      <c r="B1341" s="1535"/>
      <c r="C1341" s="1535"/>
      <c r="D1341" s="1535"/>
      <c r="E1341" s="1535"/>
      <c r="F1341" s="1535"/>
      <c r="G1341" s="1535"/>
      <c r="H1341" s="1535"/>
    </row>
    <row r="1342" spans="1:8" ht="21">
      <c r="A1342" s="1535" t="s">
        <v>102</v>
      </c>
      <c r="B1342" s="1535"/>
      <c r="C1342" s="1535"/>
      <c r="D1342" s="1535"/>
      <c r="E1342" s="1535"/>
      <c r="F1342" s="1535"/>
      <c r="G1342" s="1535"/>
      <c r="H1342" s="1535"/>
    </row>
    <row r="1343" spans="1:8" ht="18">
      <c r="A1343" s="1621" t="s">
        <v>103</v>
      </c>
      <c r="B1343" s="1621"/>
      <c r="C1343" s="1621"/>
      <c r="D1343" s="1621"/>
      <c r="E1343" s="1621"/>
      <c r="F1343" s="1621"/>
      <c r="G1343" s="1621"/>
      <c r="H1343" s="1621"/>
    </row>
    <row r="1344" spans="1:8">
      <c r="A1344" s="7"/>
      <c r="B1344" s="7"/>
      <c r="C1344" s="7"/>
      <c r="D1344" s="7"/>
      <c r="E1344" s="7"/>
      <c r="F1344" s="7"/>
      <c r="G1344" s="7"/>
      <c r="H1344" s="7"/>
    </row>
    <row r="1345" spans="1:8" ht="12.6" thickBot="1">
      <c r="A1345" s="7"/>
      <c r="B1345" s="7"/>
      <c r="C1345" s="7"/>
      <c r="D1345" s="7"/>
      <c r="E1345" s="7"/>
      <c r="F1345" s="7"/>
      <c r="G1345" s="7"/>
      <c r="H1345" s="7"/>
    </row>
    <row r="1346" spans="1:8" ht="15.6">
      <c r="A1346" s="1538" t="s">
        <v>3</v>
      </c>
      <c r="B1346" s="1540" t="s">
        <v>4</v>
      </c>
      <c r="C1346" s="1540" t="s">
        <v>5</v>
      </c>
      <c r="D1346" s="1540" t="s">
        <v>6</v>
      </c>
      <c r="E1346" s="1540" t="s">
        <v>7</v>
      </c>
      <c r="F1346" s="8" t="s">
        <v>8</v>
      </c>
      <c r="G1346" s="8" t="s">
        <v>9</v>
      </c>
      <c r="H1346" s="9" t="s">
        <v>10</v>
      </c>
    </row>
    <row r="1347" spans="1:8" ht="15.6">
      <c r="A1347" s="1539"/>
      <c r="B1347" s="1517"/>
      <c r="C1347" s="1517"/>
      <c r="D1347" s="1517"/>
      <c r="E1347" s="1517"/>
      <c r="F1347" s="10" t="s">
        <v>11</v>
      </c>
      <c r="G1347" s="10" t="s">
        <v>11</v>
      </c>
      <c r="H1347" s="11" t="s">
        <v>11</v>
      </c>
    </row>
    <row r="1348" spans="1:8" ht="15.6">
      <c r="A1348" s="52"/>
      <c r="B1348" s="53"/>
      <c r="C1348" s="54"/>
      <c r="D1348" s="54"/>
      <c r="E1348" s="54"/>
      <c r="F1348" s="54"/>
      <c r="G1348" s="54"/>
      <c r="H1348" s="55"/>
    </row>
    <row r="1349" spans="1:8" ht="15.6">
      <c r="A1349" s="52" t="s">
        <v>12</v>
      </c>
      <c r="B1349" s="53" t="s">
        <v>19</v>
      </c>
      <c r="C1349" s="56"/>
      <c r="D1349" s="56"/>
      <c r="E1349" s="56"/>
      <c r="F1349" s="56"/>
      <c r="G1349" s="56"/>
      <c r="H1349" s="57"/>
    </row>
    <row r="1350" spans="1:8" ht="15.6">
      <c r="A1350" s="52"/>
      <c r="B1350" s="581" t="s">
        <v>104</v>
      </c>
      <c r="C1350" s="59">
        <v>3</v>
      </c>
      <c r="D1350" s="56" t="s">
        <v>105</v>
      </c>
      <c r="E1350" s="56" t="s">
        <v>106</v>
      </c>
      <c r="F1350" s="60">
        <v>103981.2</v>
      </c>
      <c r="G1350" s="60">
        <f>C1350*F1350</f>
        <v>311943.59999999998</v>
      </c>
      <c r="H1350" s="61"/>
    </row>
    <row r="1351" spans="1:8" ht="15.6">
      <c r="A1351" s="52"/>
      <c r="B1351" s="581" t="s">
        <v>107</v>
      </c>
      <c r="C1351" s="59"/>
      <c r="D1351" s="56"/>
      <c r="E1351" s="56"/>
      <c r="F1351" s="60"/>
      <c r="G1351" s="60"/>
      <c r="H1351" s="62"/>
    </row>
    <row r="1352" spans="1:8" ht="15.6">
      <c r="A1352" s="52"/>
      <c r="B1352" s="58" t="s">
        <v>108</v>
      </c>
      <c r="C1352" s="59">
        <v>2</v>
      </c>
      <c r="D1352" s="56" t="s">
        <v>105</v>
      </c>
      <c r="E1352" s="56" t="s">
        <v>109</v>
      </c>
      <c r="F1352" s="60">
        <v>584011.14</v>
      </c>
      <c r="G1352" s="60">
        <f>C1352*F1352</f>
        <v>1168022.28</v>
      </c>
      <c r="H1352" s="61"/>
    </row>
    <row r="1353" spans="1:8" ht="15.6">
      <c r="A1353" s="52"/>
      <c r="B1353" s="581" t="s">
        <v>110</v>
      </c>
      <c r="C1353" s="59"/>
      <c r="D1353" s="56"/>
      <c r="E1353" s="56"/>
      <c r="F1353" s="60"/>
      <c r="G1353" s="60"/>
      <c r="H1353" s="62"/>
    </row>
    <row r="1354" spans="1:8" ht="15.6">
      <c r="A1354" s="52"/>
      <c r="B1354" s="58" t="s">
        <v>111</v>
      </c>
      <c r="C1354" s="75">
        <v>0.6</v>
      </c>
      <c r="D1354" s="56" t="s">
        <v>105</v>
      </c>
      <c r="E1354" s="56" t="s">
        <v>112</v>
      </c>
      <c r="F1354" s="60">
        <v>455805.37</v>
      </c>
      <c r="G1354" s="60">
        <f>C1354*F1354</f>
        <v>273483.22200000001</v>
      </c>
      <c r="H1354" s="62"/>
    </row>
    <row r="1355" spans="1:8" ht="15.6">
      <c r="A1355" s="52"/>
      <c r="B1355" s="581" t="s">
        <v>113</v>
      </c>
      <c r="C1355" s="59">
        <v>25</v>
      </c>
      <c r="D1355" s="56" t="s">
        <v>114</v>
      </c>
      <c r="E1355" s="56" t="s">
        <v>115</v>
      </c>
      <c r="F1355" s="60">
        <v>144696.68</v>
      </c>
      <c r="G1355" s="60">
        <f>C1355*F1355</f>
        <v>3617417</v>
      </c>
      <c r="H1355" s="61"/>
    </row>
    <row r="1356" spans="1:8" ht="15.6">
      <c r="A1356" s="52"/>
      <c r="B1356" s="581" t="s">
        <v>116</v>
      </c>
      <c r="C1356" s="59"/>
      <c r="D1356" s="56"/>
      <c r="E1356" s="56"/>
      <c r="F1356" s="60"/>
      <c r="G1356" s="60"/>
      <c r="H1356" s="73"/>
    </row>
    <row r="1357" spans="1:8" ht="15.6">
      <c r="A1357" s="52"/>
      <c r="B1357" s="58" t="s">
        <v>117</v>
      </c>
      <c r="C1357" s="59">
        <v>1</v>
      </c>
      <c r="D1357" s="56" t="s">
        <v>69</v>
      </c>
      <c r="E1357" s="56" t="s">
        <v>51</v>
      </c>
      <c r="F1357" s="60">
        <v>200000</v>
      </c>
      <c r="G1357" s="60">
        <f>C1357*F1357</f>
        <v>200000</v>
      </c>
      <c r="H1357" s="73"/>
    </row>
    <row r="1358" spans="1:8" ht="15.6">
      <c r="A1358" s="52"/>
      <c r="B1358" s="581" t="s">
        <v>118</v>
      </c>
      <c r="C1358" s="59"/>
      <c r="D1358" s="56"/>
      <c r="E1358" s="56"/>
      <c r="F1358" s="60"/>
      <c r="G1358" s="60"/>
      <c r="H1358" s="61"/>
    </row>
    <row r="1359" spans="1:8" ht="15.6">
      <c r="A1359" s="52"/>
      <c r="B1359" s="58" t="s">
        <v>119</v>
      </c>
      <c r="C1359" s="59">
        <v>30</v>
      </c>
      <c r="D1359" s="56" t="s">
        <v>114</v>
      </c>
      <c r="E1359" s="56" t="s">
        <v>120</v>
      </c>
      <c r="F1359" s="60">
        <v>29891.09</v>
      </c>
      <c r="G1359" s="60">
        <f>C1359*F1359</f>
        <v>896732.7</v>
      </c>
      <c r="H1359" s="73"/>
    </row>
    <row r="1360" spans="1:8" ht="15.6">
      <c r="A1360" s="52"/>
      <c r="B1360" s="58"/>
      <c r="C1360" s="59"/>
      <c r="D1360" s="56"/>
      <c r="E1360" s="56"/>
      <c r="F1360" s="60"/>
      <c r="G1360" s="60"/>
      <c r="H1360" s="73"/>
    </row>
    <row r="1361" spans="1:8" ht="16.2" thickBot="1">
      <c r="A1361" s="63"/>
      <c r="B1361" s="64"/>
      <c r="C1361" s="65"/>
      <c r="D1361" s="56"/>
      <c r="E1361" s="56"/>
      <c r="F1361" s="66"/>
      <c r="G1361" s="67"/>
      <c r="H1361" s="68"/>
    </row>
    <row r="1362" spans="1:8" ht="15.6">
      <c r="A1362" s="27"/>
      <c r="B1362" s="28"/>
      <c r="C1362" s="29"/>
      <c r="D1362" s="30"/>
      <c r="E1362" s="30"/>
      <c r="F1362" s="30" t="s">
        <v>53</v>
      </c>
      <c r="G1362" s="31">
        <f>SUM(G1348:G1360)</f>
        <v>6467598.8020000001</v>
      </c>
      <c r="H1362" s="32">
        <f>G1362+G1363</f>
        <v>7114358.6821999997</v>
      </c>
    </row>
    <row r="1363" spans="1:8" ht="16.2" thickBot="1">
      <c r="A1363" s="33"/>
      <c r="B1363" s="34"/>
      <c r="C1363" s="35"/>
      <c r="D1363" s="35"/>
      <c r="E1363" s="36"/>
      <c r="F1363" s="37" t="s">
        <v>26</v>
      </c>
      <c r="G1363" s="38">
        <f>G1362*10%</f>
        <v>646759.88020000001</v>
      </c>
      <c r="H1363" s="69"/>
    </row>
    <row r="1364" spans="1:8" ht="15.6">
      <c r="A1364" s="40" t="s">
        <v>27</v>
      </c>
      <c r="B1364" s="41"/>
      <c r="C1364" s="41"/>
      <c r="D1364" s="41"/>
      <c r="E1364" s="41"/>
      <c r="F1364" s="70" t="s">
        <v>28</v>
      </c>
      <c r="G1364" s="43"/>
      <c r="H1364" s="32">
        <f>H1362+H1363</f>
        <v>7114358.6821999997</v>
      </c>
    </row>
    <row r="1365" spans="1:8" ht="16.2" thickBot="1">
      <c r="A1365" s="44"/>
      <c r="B1365" s="71" t="s">
        <v>121</v>
      </c>
      <c r="C1365" s="45"/>
      <c r="D1365" s="45"/>
      <c r="E1365" s="45"/>
      <c r="F1365" s="72" t="s">
        <v>30</v>
      </c>
      <c r="G1365" s="47"/>
      <c r="H1365" s="48">
        <f>ROUND(H1364,-2)</f>
        <v>7114400</v>
      </c>
    </row>
    <row r="1366" spans="1:8" ht="15.6">
      <c r="A1366" s="49"/>
      <c r="B1366" s="49"/>
      <c r="C1366" s="49"/>
      <c r="D1366" s="49"/>
      <c r="E1366" s="49"/>
      <c r="F1366" s="49"/>
      <c r="G1366" s="49"/>
      <c r="H1366" s="50"/>
    </row>
    <row r="1367" spans="1:8" ht="15.6">
      <c r="A1367" s="51"/>
      <c r="B1367" s="51"/>
      <c r="C1367" s="51"/>
      <c r="D1367" s="51"/>
      <c r="E1367" s="51"/>
      <c r="F1367" s="51"/>
      <c r="G1367" s="1509" t="s">
        <v>122</v>
      </c>
      <c r="H1367" s="1509"/>
    </row>
    <row r="1368" spans="1:8" ht="15.6">
      <c r="A1368" s="1509" t="s">
        <v>31</v>
      </c>
      <c r="B1368" s="1509"/>
      <c r="C1368" s="1509" t="s">
        <v>32</v>
      </c>
      <c r="D1368" s="1509"/>
      <c r="E1368" s="1509"/>
      <c r="F1368" s="51"/>
      <c r="G1368" s="1509" t="s">
        <v>33</v>
      </c>
      <c r="H1368" s="1509"/>
    </row>
    <row r="1369" spans="1:8" ht="15.6">
      <c r="A1369" s="51"/>
      <c r="B1369" s="51"/>
      <c r="C1369" s="51"/>
      <c r="D1369" s="51"/>
      <c r="E1369" s="51"/>
      <c r="F1369" s="51"/>
      <c r="G1369" s="51"/>
      <c r="H1369" s="51"/>
    </row>
    <row r="1370" spans="1:8" ht="15.6">
      <c r="A1370" s="51"/>
      <c r="B1370" s="51"/>
      <c r="C1370" s="51"/>
      <c r="D1370" s="51"/>
      <c r="E1370" s="51"/>
      <c r="F1370" s="51"/>
      <c r="G1370" s="51"/>
      <c r="H1370" s="51"/>
    </row>
    <row r="1371" spans="1:8" ht="15.6">
      <c r="A1371" s="51"/>
      <c r="B1371" s="51"/>
      <c r="C1371" s="51"/>
      <c r="D1371" s="51"/>
      <c r="E1371" s="51"/>
      <c r="F1371" s="51"/>
      <c r="G1371" s="51"/>
      <c r="H1371" s="51"/>
    </row>
    <row r="1372" spans="1:8" ht="15.6">
      <c r="A1372" s="1512" t="s">
        <v>34</v>
      </c>
      <c r="B1372" s="1512"/>
      <c r="C1372" s="1512" t="s">
        <v>35</v>
      </c>
      <c r="D1372" s="1512"/>
      <c r="E1372" s="1512"/>
      <c r="F1372" s="51"/>
      <c r="G1372" s="1512" t="s">
        <v>36</v>
      </c>
      <c r="H1372" s="1512"/>
    </row>
    <row r="1373" spans="1:8" ht="15.6">
      <c r="A1373" s="1509" t="s">
        <v>37</v>
      </c>
      <c r="B1373" s="1509"/>
      <c r="C1373" s="1509" t="s">
        <v>38</v>
      </c>
      <c r="D1373" s="1509"/>
      <c r="E1373" s="1509"/>
      <c r="F1373" s="51"/>
      <c r="G1373" s="1509" t="s">
        <v>39</v>
      </c>
      <c r="H1373" s="1509"/>
    </row>
    <row r="1374" spans="1:8">
      <c r="A1374" s="5"/>
      <c r="B1374" s="5"/>
      <c r="C1374" s="5"/>
      <c r="D1374" s="5"/>
      <c r="E1374" s="5"/>
      <c r="F1374" s="6"/>
      <c r="G1374" s="5"/>
      <c r="H1374" s="5"/>
    </row>
    <row r="1375" spans="1:8">
      <c r="A1375" s="5"/>
      <c r="B1375" s="5"/>
      <c r="C1375" s="5"/>
      <c r="D1375" s="5"/>
      <c r="E1375" s="5"/>
      <c r="F1375" s="6"/>
      <c r="G1375" s="5"/>
      <c r="H1375" s="5"/>
    </row>
    <row r="1376" spans="1:8">
      <c r="A1376" s="5"/>
      <c r="B1376" s="5"/>
      <c r="C1376" s="5"/>
      <c r="D1376" s="5"/>
      <c r="E1376" s="5"/>
      <c r="F1376" s="6"/>
      <c r="G1376" s="5"/>
      <c r="H1376" s="5"/>
    </row>
    <row r="1377" spans="1:8">
      <c r="A1377" s="5"/>
      <c r="B1377" s="5"/>
      <c r="C1377" s="5"/>
      <c r="D1377" s="5"/>
      <c r="E1377" s="5"/>
      <c r="F1377" s="6"/>
      <c r="G1377" s="5"/>
      <c r="H1377" s="5"/>
    </row>
    <row r="1378" spans="1:8">
      <c r="A1378" s="5"/>
      <c r="B1378" s="5"/>
      <c r="C1378" s="5"/>
      <c r="D1378" s="5"/>
      <c r="E1378" s="5"/>
      <c r="F1378" s="6"/>
      <c r="G1378" s="5"/>
      <c r="H1378" s="5"/>
    </row>
    <row r="1379" spans="1:8" ht="18">
      <c r="A1379" s="1621" t="s">
        <v>123</v>
      </c>
      <c r="B1379" s="1621"/>
      <c r="C1379" s="1621"/>
      <c r="D1379" s="1621"/>
      <c r="E1379" s="1621"/>
      <c r="F1379" s="1621"/>
      <c r="G1379" s="1621"/>
      <c r="H1379" s="1621"/>
    </row>
    <row r="1380" spans="1:8" ht="18">
      <c r="A1380" s="1621" t="s">
        <v>124</v>
      </c>
      <c r="B1380" s="1621"/>
      <c r="C1380" s="1621"/>
      <c r="D1380" s="1621"/>
      <c r="E1380" s="1621"/>
      <c r="F1380" s="1621"/>
      <c r="G1380" s="1621"/>
      <c r="H1380" s="1621"/>
    </row>
    <row r="1381" spans="1:8" ht="15.6">
      <c r="A1381" s="1603"/>
      <c r="B1381" s="1603"/>
      <c r="C1381" s="1603"/>
      <c r="D1381" s="1603"/>
      <c r="E1381" s="1603"/>
      <c r="F1381" s="1603"/>
      <c r="G1381" s="1603"/>
      <c r="H1381" s="1603"/>
    </row>
    <row r="1382" spans="1:8">
      <c r="A1382" s="7"/>
      <c r="B1382" s="7"/>
      <c r="C1382" s="7"/>
      <c r="D1382" s="7"/>
      <c r="E1382" s="7"/>
      <c r="F1382" s="7"/>
      <c r="G1382" s="7"/>
      <c r="H1382" s="7"/>
    </row>
    <row r="1383" spans="1:8" ht="21.9" customHeight="1" thickBot="1">
      <c r="A1383" s="7"/>
      <c r="B1383" s="7"/>
      <c r="C1383" s="7"/>
      <c r="D1383" s="7"/>
      <c r="E1383" s="7"/>
      <c r="F1383" s="7"/>
      <c r="G1383" s="7"/>
      <c r="H1383" s="7"/>
    </row>
    <row r="1384" spans="1:8">
      <c r="A1384" s="1586" t="s">
        <v>3</v>
      </c>
      <c r="B1384" s="1588" t="s">
        <v>4</v>
      </c>
      <c r="C1384" s="1588" t="s">
        <v>5</v>
      </c>
      <c r="D1384" s="1588" t="s">
        <v>6</v>
      </c>
      <c r="E1384" s="1588" t="s">
        <v>7</v>
      </c>
      <c r="F1384" s="76" t="s">
        <v>8</v>
      </c>
      <c r="G1384" s="76" t="s">
        <v>9</v>
      </c>
      <c r="H1384" s="77" t="s">
        <v>10</v>
      </c>
    </row>
    <row r="1385" spans="1:8">
      <c r="A1385" s="1587"/>
      <c r="B1385" s="1589"/>
      <c r="C1385" s="1589"/>
      <c r="D1385" s="1589"/>
      <c r="E1385" s="1589"/>
      <c r="F1385" s="78" t="s">
        <v>11</v>
      </c>
      <c r="G1385" s="78" t="s">
        <v>11</v>
      </c>
      <c r="H1385" s="79" t="s">
        <v>11</v>
      </c>
    </row>
    <row r="1386" spans="1:8">
      <c r="A1386" s="80"/>
      <c r="B1386" s="81"/>
      <c r="C1386" s="82"/>
      <c r="D1386" s="82"/>
      <c r="E1386" s="82"/>
      <c r="F1386" s="82"/>
      <c r="G1386" s="82"/>
      <c r="H1386" s="83"/>
    </row>
    <row r="1387" spans="1:8">
      <c r="A1387" s="80" t="s">
        <v>12</v>
      </c>
      <c r="B1387" s="84"/>
      <c r="C1387" s="85"/>
      <c r="D1387" s="85"/>
      <c r="E1387" s="85"/>
      <c r="F1387" s="85"/>
      <c r="G1387" s="85"/>
      <c r="H1387" s="86"/>
    </row>
    <row r="1388" spans="1:8">
      <c r="A1388" s="80"/>
      <c r="B1388" s="84" t="s">
        <v>125</v>
      </c>
      <c r="C1388" s="87">
        <v>1</v>
      </c>
      <c r="D1388" s="85" t="s">
        <v>44</v>
      </c>
      <c r="E1388" s="85" t="s">
        <v>126</v>
      </c>
      <c r="F1388" s="88">
        <v>25000</v>
      </c>
      <c r="G1388" s="88">
        <f>C1388*F1388</f>
        <v>25000</v>
      </c>
      <c r="H1388" s="89">
        <f>SUM(G1388)</f>
        <v>25000</v>
      </c>
    </row>
    <row r="1389" spans="1:8">
      <c r="A1389" s="80"/>
      <c r="B1389" s="84" t="s">
        <v>127</v>
      </c>
      <c r="C1389" s="87"/>
      <c r="D1389" s="85"/>
      <c r="E1389" s="85"/>
      <c r="F1389" s="88"/>
      <c r="G1389" s="88"/>
      <c r="H1389" s="90"/>
    </row>
    <row r="1390" spans="1:8">
      <c r="A1390" s="80"/>
      <c r="B1390" s="84" t="s">
        <v>128</v>
      </c>
      <c r="C1390" s="87">
        <v>14</v>
      </c>
      <c r="D1390" s="85" t="s">
        <v>47</v>
      </c>
      <c r="E1390" s="85" t="s">
        <v>126</v>
      </c>
      <c r="F1390" s="88">
        <v>7500</v>
      </c>
      <c r="G1390" s="88">
        <f>C1390*F1390</f>
        <v>105000</v>
      </c>
      <c r="H1390" s="89">
        <f>SUM(G1390)</f>
        <v>105000</v>
      </c>
    </row>
    <row r="1391" spans="1:8">
      <c r="A1391" s="80"/>
      <c r="B1391" s="84" t="s">
        <v>129</v>
      </c>
      <c r="C1391" s="87"/>
      <c r="D1391" s="85"/>
      <c r="E1391" s="85"/>
      <c r="F1391" s="88"/>
      <c r="G1391" s="88"/>
      <c r="H1391" s="90"/>
    </row>
    <row r="1392" spans="1:8">
      <c r="A1392" s="80"/>
      <c r="B1392" s="84" t="s">
        <v>130</v>
      </c>
      <c r="C1392" s="87">
        <v>48</v>
      </c>
      <c r="D1392" s="85" t="s">
        <v>44</v>
      </c>
      <c r="E1392" s="85" t="s">
        <v>126</v>
      </c>
      <c r="F1392" s="88">
        <v>1000</v>
      </c>
      <c r="G1392" s="88">
        <f>C1392*F1392</f>
        <v>48000</v>
      </c>
      <c r="H1392" s="90"/>
    </row>
    <row r="1393" spans="1:8">
      <c r="A1393" s="80"/>
      <c r="B1393" s="84" t="s">
        <v>131</v>
      </c>
      <c r="C1393" s="87">
        <v>4</v>
      </c>
      <c r="D1393" s="85" t="s">
        <v>132</v>
      </c>
      <c r="E1393" s="85" t="s">
        <v>126</v>
      </c>
      <c r="F1393" s="88">
        <v>24000</v>
      </c>
      <c r="G1393" s="88">
        <f>C1393*F1393</f>
        <v>96000</v>
      </c>
      <c r="H1393" s="89">
        <f>SUM(G1392:G1393)</f>
        <v>144000</v>
      </c>
    </row>
    <row r="1394" spans="1:8">
      <c r="A1394" s="80"/>
      <c r="B1394" s="84" t="s">
        <v>133</v>
      </c>
      <c r="C1394" s="87"/>
      <c r="D1394" s="85"/>
      <c r="E1394" s="85"/>
      <c r="F1394" s="88"/>
      <c r="G1394" s="88"/>
      <c r="H1394" s="91"/>
    </row>
    <row r="1395" spans="1:8">
      <c r="A1395" s="80"/>
      <c r="B1395" s="84" t="s">
        <v>134</v>
      </c>
      <c r="C1395" s="87">
        <v>1</v>
      </c>
      <c r="D1395" s="85" t="s">
        <v>44</v>
      </c>
      <c r="E1395" s="85" t="s">
        <v>126</v>
      </c>
      <c r="F1395" s="88">
        <v>10000</v>
      </c>
      <c r="G1395" s="88">
        <f>C1395*F1395</f>
        <v>10000</v>
      </c>
      <c r="H1395" s="91"/>
    </row>
    <row r="1396" spans="1:8">
      <c r="A1396" s="80"/>
      <c r="B1396" s="84" t="s">
        <v>135</v>
      </c>
      <c r="C1396" s="87">
        <v>1</v>
      </c>
      <c r="D1396" s="85" t="s">
        <v>44</v>
      </c>
      <c r="E1396" s="85" t="s">
        <v>126</v>
      </c>
      <c r="F1396" s="88">
        <v>25000</v>
      </c>
      <c r="G1396" s="88">
        <f>C1396*F1396</f>
        <v>25000</v>
      </c>
      <c r="H1396" s="89">
        <f>SUM(G1395:G1396)</f>
        <v>35000</v>
      </c>
    </row>
    <row r="1397" spans="1:8">
      <c r="A1397" s="80"/>
      <c r="B1397" s="84" t="s">
        <v>136</v>
      </c>
      <c r="C1397" s="87"/>
      <c r="D1397" s="85"/>
      <c r="E1397" s="85"/>
      <c r="F1397" s="88"/>
      <c r="G1397" s="88"/>
      <c r="H1397" s="91"/>
    </row>
    <row r="1398" spans="1:8">
      <c r="A1398" s="80"/>
      <c r="B1398" s="84" t="s">
        <v>137</v>
      </c>
      <c r="C1398" s="87">
        <v>2</v>
      </c>
      <c r="D1398" s="85" t="s">
        <v>138</v>
      </c>
      <c r="E1398" s="85" t="s">
        <v>126</v>
      </c>
      <c r="F1398" s="88">
        <v>25000</v>
      </c>
      <c r="G1398" s="88">
        <f t="shared" ref="G1398:G1404" si="15">C1398*F1398</f>
        <v>50000</v>
      </c>
      <c r="H1398" s="91"/>
    </row>
    <row r="1399" spans="1:8">
      <c r="A1399" s="80"/>
      <c r="B1399" s="84" t="s">
        <v>139</v>
      </c>
      <c r="C1399" s="87">
        <v>2</v>
      </c>
      <c r="D1399" s="85" t="s">
        <v>132</v>
      </c>
      <c r="E1399" s="85" t="s">
        <v>126</v>
      </c>
      <c r="F1399" s="88">
        <v>25000</v>
      </c>
      <c r="G1399" s="88">
        <f t="shared" si="15"/>
        <v>50000</v>
      </c>
      <c r="H1399" s="91"/>
    </row>
    <row r="1400" spans="1:8">
      <c r="A1400" s="80"/>
      <c r="B1400" s="84" t="s">
        <v>140</v>
      </c>
      <c r="C1400" s="87">
        <v>3</v>
      </c>
      <c r="D1400" s="85" t="s">
        <v>44</v>
      </c>
      <c r="E1400" s="85" t="s">
        <v>126</v>
      </c>
      <c r="F1400" s="88">
        <v>42500</v>
      </c>
      <c r="G1400" s="88">
        <f t="shared" si="15"/>
        <v>127500</v>
      </c>
      <c r="H1400" s="91"/>
    </row>
    <row r="1401" spans="1:8">
      <c r="A1401" s="80"/>
      <c r="B1401" s="84" t="s">
        <v>141</v>
      </c>
      <c r="C1401" s="87">
        <v>1</v>
      </c>
      <c r="D1401" s="85" t="s">
        <v>44</v>
      </c>
      <c r="E1401" s="85" t="s">
        <v>126</v>
      </c>
      <c r="F1401" s="88">
        <v>18000</v>
      </c>
      <c r="G1401" s="88">
        <f t="shared" si="15"/>
        <v>18000</v>
      </c>
      <c r="H1401" s="91"/>
    </row>
    <row r="1402" spans="1:8">
      <c r="A1402" s="80"/>
      <c r="B1402" s="84" t="s">
        <v>142</v>
      </c>
      <c r="C1402" s="87">
        <v>2</v>
      </c>
      <c r="D1402" s="85" t="s">
        <v>44</v>
      </c>
      <c r="E1402" s="85" t="s">
        <v>126</v>
      </c>
      <c r="F1402" s="88">
        <v>4000</v>
      </c>
      <c r="G1402" s="88">
        <f t="shared" si="15"/>
        <v>8000</v>
      </c>
      <c r="H1402" s="91"/>
    </row>
    <row r="1403" spans="1:8">
      <c r="A1403" s="80"/>
      <c r="B1403" s="84" t="s">
        <v>143</v>
      </c>
      <c r="C1403" s="87">
        <v>1</v>
      </c>
      <c r="D1403" s="85" t="s">
        <v>144</v>
      </c>
      <c r="E1403" s="85" t="s">
        <v>126</v>
      </c>
      <c r="F1403" s="88">
        <v>5000</v>
      </c>
      <c r="G1403" s="88">
        <f t="shared" si="15"/>
        <v>5000</v>
      </c>
      <c r="H1403" s="91"/>
    </row>
    <row r="1404" spans="1:8">
      <c r="A1404" s="80"/>
      <c r="B1404" s="84" t="s">
        <v>145</v>
      </c>
      <c r="C1404" s="87">
        <v>1</v>
      </c>
      <c r="D1404" s="85" t="s">
        <v>44</v>
      </c>
      <c r="E1404" s="85" t="s">
        <v>126</v>
      </c>
      <c r="F1404" s="88">
        <v>20000</v>
      </c>
      <c r="G1404" s="88">
        <f t="shared" si="15"/>
        <v>20000</v>
      </c>
      <c r="H1404" s="89">
        <f>SUM(G1398:G1404)</f>
        <v>278500</v>
      </c>
    </row>
    <row r="1405" spans="1:8">
      <c r="A1405" s="80"/>
      <c r="B1405" s="84" t="s">
        <v>146</v>
      </c>
      <c r="C1405" s="87"/>
      <c r="D1405" s="85"/>
      <c r="E1405" s="85"/>
      <c r="F1405" s="88"/>
      <c r="G1405" s="88"/>
      <c r="H1405" s="91"/>
    </row>
    <row r="1406" spans="1:8">
      <c r="A1406" s="80"/>
      <c r="B1406" s="84" t="s">
        <v>147</v>
      </c>
      <c r="C1406" s="87">
        <v>1</v>
      </c>
      <c r="D1406" s="85" t="s">
        <v>44</v>
      </c>
      <c r="E1406" s="85" t="s">
        <v>126</v>
      </c>
      <c r="F1406" s="88">
        <v>6000</v>
      </c>
      <c r="G1406" s="88">
        <f>C1406*F1406</f>
        <v>6000</v>
      </c>
      <c r="H1406" s="91"/>
    </row>
    <row r="1407" spans="1:8">
      <c r="A1407" s="80"/>
      <c r="B1407" s="84" t="s">
        <v>148</v>
      </c>
      <c r="C1407" s="87">
        <v>1</v>
      </c>
      <c r="D1407" s="85" t="s">
        <v>44</v>
      </c>
      <c r="E1407" s="85" t="s">
        <v>126</v>
      </c>
      <c r="F1407" s="88">
        <v>7000</v>
      </c>
      <c r="G1407" s="88">
        <f>C1407*F1407</f>
        <v>7000</v>
      </c>
      <c r="H1407" s="89">
        <f>SUM(G1406:G1407)</f>
        <v>13000</v>
      </c>
    </row>
    <row r="1408" spans="1:8">
      <c r="A1408" s="80"/>
      <c r="B1408" s="84" t="s">
        <v>149</v>
      </c>
      <c r="C1408" s="87"/>
      <c r="D1408" s="85"/>
      <c r="E1408" s="85"/>
      <c r="F1408" s="88"/>
      <c r="G1408" s="88"/>
      <c r="H1408" s="91"/>
    </row>
    <row r="1409" spans="1:8">
      <c r="A1409" s="80"/>
      <c r="B1409" s="84" t="s">
        <v>150</v>
      </c>
      <c r="C1409" s="87">
        <v>2</v>
      </c>
      <c r="D1409" s="85" t="s">
        <v>47</v>
      </c>
      <c r="E1409" s="85" t="s">
        <v>126</v>
      </c>
      <c r="F1409" s="88">
        <v>95000</v>
      </c>
      <c r="G1409" s="88">
        <f>C1409*F1409</f>
        <v>190000</v>
      </c>
      <c r="H1409" s="91"/>
    </row>
    <row r="1410" spans="1:8">
      <c r="A1410" s="80"/>
      <c r="B1410" s="84" t="s">
        <v>151</v>
      </c>
      <c r="C1410" s="87">
        <v>1</v>
      </c>
      <c r="D1410" s="85" t="s">
        <v>144</v>
      </c>
      <c r="E1410" s="85" t="s">
        <v>126</v>
      </c>
      <c r="F1410" s="88">
        <v>8000</v>
      </c>
      <c r="G1410" s="88">
        <f>C1410*F1410</f>
        <v>8000</v>
      </c>
      <c r="H1410" s="91"/>
    </row>
    <row r="1411" spans="1:8">
      <c r="A1411" s="80"/>
      <c r="B1411" s="84" t="s">
        <v>152</v>
      </c>
      <c r="C1411" s="87">
        <v>1</v>
      </c>
      <c r="D1411" s="85" t="s">
        <v>44</v>
      </c>
      <c r="E1411" s="85" t="s">
        <v>126</v>
      </c>
      <c r="F1411" s="88">
        <v>1000</v>
      </c>
      <c r="G1411" s="88">
        <f>C1411*F1411</f>
        <v>1000</v>
      </c>
      <c r="H1411" s="89">
        <f>SUM(G1409:G1411)</f>
        <v>199000</v>
      </c>
    </row>
    <row r="1412" spans="1:8">
      <c r="A1412" s="80"/>
      <c r="B1412" s="84" t="s">
        <v>153</v>
      </c>
      <c r="C1412" s="87"/>
      <c r="D1412" s="85"/>
      <c r="E1412" s="85"/>
      <c r="F1412" s="88"/>
      <c r="G1412" s="88"/>
      <c r="H1412" s="89"/>
    </row>
    <row r="1413" spans="1:8">
      <c r="A1413" s="80"/>
      <c r="B1413" s="84" t="s">
        <v>154</v>
      </c>
      <c r="C1413" s="87">
        <v>1</v>
      </c>
      <c r="D1413" s="85" t="s">
        <v>21</v>
      </c>
      <c r="E1413" s="85" t="s">
        <v>126</v>
      </c>
      <c r="F1413" s="88">
        <v>80000</v>
      </c>
      <c r="G1413" s="88">
        <f>C1413*F1413</f>
        <v>80000</v>
      </c>
      <c r="H1413" s="91"/>
    </row>
    <row r="1414" spans="1:8">
      <c r="A1414" s="80"/>
      <c r="B1414" s="84" t="s">
        <v>155</v>
      </c>
      <c r="C1414" s="87">
        <v>1</v>
      </c>
      <c r="D1414" s="85" t="s">
        <v>44</v>
      </c>
      <c r="E1414" s="85" t="s">
        <v>126</v>
      </c>
      <c r="F1414" s="88">
        <v>50000</v>
      </c>
      <c r="G1414" s="88">
        <f>C1414*F1414</f>
        <v>50000</v>
      </c>
      <c r="H1414" s="89">
        <f>SUM(G1413:G1414)</f>
        <v>130000</v>
      </c>
    </row>
    <row r="1415" spans="1:8">
      <c r="A1415" s="80"/>
      <c r="B1415" s="84" t="s">
        <v>156</v>
      </c>
      <c r="C1415" s="92">
        <v>1</v>
      </c>
      <c r="D1415" s="85" t="s">
        <v>44</v>
      </c>
      <c r="E1415" s="85" t="s">
        <v>126</v>
      </c>
      <c r="F1415" s="88">
        <v>100000</v>
      </c>
      <c r="G1415" s="88">
        <f>C1415*F1415</f>
        <v>100000</v>
      </c>
      <c r="H1415" s="93">
        <f>SUM(G1415)</f>
        <v>100000</v>
      </c>
    </row>
    <row r="1416" spans="1:8">
      <c r="A1416" s="80"/>
      <c r="B1416" s="94" t="s">
        <v>157</v>
      </c>
      <c r="C1416" s="95"/>
      <c r="D1416" s="85"/>
      <c r="E1416" s="85"/>
      <c r="F1416" s="96"/>
      <c r="G1416" s="97"/>
      <c r="H1416" s="98"/>
    </row>
    <row r="1417" spans="1:8">
      <c r="A1417" s="80"/>
      <c r="B1417" s="94" t="s">
        <v>158</v>
      </c>
      <c r="C1417" s="92">
        <v>1</v>
      </c>
      <c r="D1417" s="85"/>
      <c r="E1417" s="85"/>
      <c r="F1417" s="96">
        <v>14000</v>
      </c>
      <c r="G1417" s="88">
        <f>C1417*F1417</f>
        <v>14000</v>
      </c>
      <c r="H1417" s="98"/>
    </row>
    <row r="1418" spans="1:8">
      <c r="A1418" s="80"/>
      <c r="B1418" s="94" t="s">
        <v>159</v>
      </c>
      <c r="C1418" s="92">
        <v>3</v>
      </c>
      <c r="D1418" s="85" t="s">
        <v>44</v>
      </c>
      <c r="E1418" s="85" t="s">
        <v>126</v>
      </c>
      <c r="F1418" s="96">
        <v>2000</v>
      </c>
      <c r="G1418" s="88">
        <f>C1418*F1418</f>
        <v>6000</v>
      </c>
      <c r="H1418" s="99">
        <f>SUM(G1417:G1418)</f>
        <v>20000</v>
      </c>
    </row>
    <row r="1419" spans="1:8">
      <c r="A1419" s="80"/>
      <c r="B1419" s="94" t="s">
        <v>160</v>
      </c>
      <c r="C1419" s="92"/>
      <c r="D1419" s="85"/>
      <c r="E1419" s="85"/>
      <c r="F1419" s="96"/>
      <c r="G1419" s="97"/>
      <c r="H1419" s="98"/>
    </row>
    <row r="1420" spans="1:8">
      <c r="A1420" s="80"/>
      <c r="B1420" s="84" t="s">
        <v>161</v>
      </c>
      <c r="C1420" s="92">
        <v>2</v>
      </c>
      <c r="D1420" s="85" t="s">
        <v>44</v>
      </c>
      <c r="E1420" s="85" t="s">
        <v>126</v>
      </c>
      <c r="F1420" s="96">
        <v>2500</v>
      </c>
      <c r="G1420" s="88">
        <f t="shared" ref="G1420:G1425" si="16">C1420*F1420</f>
        <v>5000</v>
      </c>
      <c r="H1420" s="98"/>
    </row>
    <row r="1421" spans="1:8">
      <c r="A1421" s="100"/>
      <c r="B1421" s="84" t="s">
        <v>162</v>
      </c>
      <c r="C1421" s="92">
        <v>1</v>
      </c>
      <c r="D1421" s="101" t="s">
        <v>44</v>
      </c>
      <c r="E1421" s="85" t="s">
        <v>126</v>
      </c>
      <c r="F1421" s="102">
        <v>25000</v>
      </c>
      <c r="G1421" s="88">
        <f t="shared" si="16"/>
        <v>25000</v>
      </c>
      <c r="H1421" s="93"/>
    </row>
    <row r="1422" spans="1:8">
      <c r="A1422" s="100"/>
      <c r="B1422" s="84" t="s">
        <v>145</v>
      </c>
      <c r="C1422" s="92">
        <v>4</v>
      </c>
      <c r="D1422" s="101" t="s">
        <v>44</v>
      </c>
      <c r="E1422" s="85" t="s">
        <v>126</v>
      </c>
      <c r="F1422" s="102">
        <v>22000</v>
      </c>
      <c r="G1422" s="88">
        <f t="shared" si="16"/>
        <v>88000</v>
      </c>
      <c r="H1422" s="93"/>
    </row>
    <row r="1423" spans="1:8">
      <c r="A1423" s="80"/>
      <c r="B1423" s="84" t="s">
        <v>163</v>
      </c>
      <c r="C1423" s="103">
        <v>2</v>
      </c>
      <c r="D1423" s="85" t="s">
        <v>44</v>
      </c>
      <c r="E1423" s="85" t="s">
        <v>126</v>
      </c>
      <c r="F1423" s="102">
        <v>25000</v>
      </c>
      <c r="G1423" s="88">
        <f t="shared" si="16"/>
        <v>50000</v>
      </c>
      <c r="H1423" s="93">
        <f>SUM(G1420:G1423)</f>
        <v>168000</v>
      </c>
    </row>
    <row r="1424" spans="1:8">
      <c r="A1424" s="80"/>
      <c r="B1424" s="94" t="s">
        <v>164</v>
      </c>
      <c r="C1424" s="92">
        <v>1</v>
      </c>
      <c r="D1424" s="101" t="s">
        <v>44</v>
      </c>
      <c r="E1424" s="85" t="s">
        <v>126</v>
      </c>
      <c r="F1424" s="102">
        <v>150000</v>
      </c>
      <c r="G1424" s="88">
        <f t="shared" si="16"/>
        <v>150000</v>
      </c>
      <c r="H1424" s="93">
        <f>SUM(G1424)</f>
        <v>150000</v>
      </c>
    </row>
    <row r="1425" spans="1:8">
      <c r="A1425" s="80"/>
      <c r="B1425" s="94" t="s">
        <v>165</v>
      </c>
      <c r="C1425" s="92">
        <v>2</v>
      </c>
      <c r="D1425" s="101" t="s">
        <v>44</v>
      </c>
      <c r="E1425" s="85" t="s">
        <v>126</v>
      </c>
      <c r="F1425" s="102">
        <v>150000</v>
      </c>
      <c r="G1425" s="88">
        <f t="shared" si="16"/>
        <v>300000</v>
      </c>
      <c r="H1425" s="93">
        <f>SUM(G1425)</f>
        <v>300000</v>
      </c>
    </row>
    <row r="1426" spans="1:8">
      <c r="A1426" s="80"/>
      <c r="B1426" s="94" t="s">
        <v>166</v>
      </c>
      <c r="C1426" s="92"/>
      <c r="D1426" s="101"/>
      <c r="E1426" s="85"/>
      <c r="F1426" s="102"/>
      <c r="G1426" s="104"/>
      <c r="H1426" s="105"/>
    </row>
    <row r="1427" spans="1:8">
      <c r="A1427" s="80"/>
      <c r="B1427" s="84" t="s">
        <v>167</v>
      </c>
      <c r="C1427" s="92">
        <v>1</v>
      </c>
      <c r="D1427" s="101" t="s">
        <v>44</v>
      </c>
      <c r="E1427" s="85" t="s">
        <v>126</v>
      </c>
      <c r="F1427" s="102">
        <v>7000</v>
      </c>
      <c r="G1427" s="88">
        <f t="shared" ref="G1427:G1432" si="17">C1427*F1427</f>
        <v>7000</v>
      </c>
      <c r="H1427" s="105"/>
    </row>
    <row r="1428" spans="1:8">
      <c r="A1428" s="80"/>
      <c r="B1428" s="84" t="s">
        <v>168</v>
      </c>
      <c r="C1428" s="92">
        <v>1</v>
      </c>
      <c r="D1428" s="101" t="s">
        <v>44</v>
      </c>
      <c r="E1428" s="85" t="s">
        <v>126</v>
      </c>
      <c r="F1428" s="102">
        <v>20000</v>
      </c>
      <c r="G1428" s="88">
        <f t="shared" si="17"/>
        <v>20000</v>
      </c>
      <c r="H1428" s="105"/>
    </row>
    <row r="1429" spans="1:8">
      <c r="A1429" s="80"/>
      <c r="B1429" s="84" t="s">
        <v>169</v>
      </c>
      <c r="C1429" s="92">
        <v>2</v>
      </c>
      <c r="D1429" s="101" t="s">
        <v>44</v>
      </c>
      <c r="E1429" s="85" t="s">
        <v>126</v>
      </c>
      <c r="F1429" s="102">
        <v>25000</v>
      </c>
      <c r="G1429" s="88">
        <f t="shared" si="17"/>
        <v>50000</v>
      </c>
      <c r="H1429" s="93">
        <f>SUM(G1427:G1429)</f>
        <v>77000</v>
      </c>
    </row>
    <row r="1430" spans="1:8">
      <c r="A1430" s="80"/>
      <c r="B1430" s="94" t="s">
        <v>170</v>
      </c>
      <c r="C1430" s="92">
        <v>2</v>
      </c>
      <c r="D1430" s="101" t="s">
        <v>44</v>
      </c>
      <c r="E1430" s="85" t="s">
        <v>126</v>
      </c>
      <c r="F1430" s="102">
        <v>600000</v>
      </c>
      <c r="G1430" s="88">
        <f t="shared" si="17"/>
        <v>1200000</v>
      </c>
      <c r="H1430" s="93">
        <f>SUM(G1430)</f>
        <v>1200000</v>
      </c>
    </row>
    <row r="1431" spans="1:8">
      <c r="A1431" s="80"/>
      <c r="B1431" s="94" t="s">
        <v>171</v>
      </c>
      <c r="C1431" s="103">
        <v>1</v>
      </c>
      <c r="D1431" s="101" t="s">
        <v>44</v>
      </c>
      <c r="E1431" s="85" t="s">
        <v>126</v>
      </c>
      <c r="F1431" s="102">
        <v>350000</v>
      </c>
      <c r="G1431" s="88">
        <f t="shared" si="17"/>
        <v>350000</v>
      </c>
      <c r="H1431" s="93">
        <f>SUM(G1431)</f>
        <v>350000</v>
      </c>
    </row>
    <row r="1432" spans="1:8">
      <c r="A1432" s="80"/>
      <c r="B1432" s="94" t="s">
        <v>172</v>
      </c>
      <c r="C1432" s="103">
        <v>1</v>
      </c>
      <c r="D1432" s="101" t="s">
        <v>44</v>
      </c>
      <c r="E1432" s="85" t="s">
        <v>126</v>
      </c>
      <c r="F1432" s="102">
        <v>300000</v>
      </c>
      <c r="G1432" s="88">
        <f t="shared" si="17"/>
        <v>300000</v>
      </c>
      <c r="H1432" s="93">
        <f>SUM(G1432)</f>
        <v>300000</v>
      </c>
    </row>
    <row r="1433" spans="1:8">
      <c r="A1433" s="80"/>
      <c r="B1433" s="94"/>
      <c r="C1433" s="106"/>
      <c r="D1433" s="101"/>
      <c r="E1433" s="85"/>
      <c r="F1433" s="102"/>
      <c r="G1433" s="104"/>
      <c r="H1433" s="105"/>
    </row>
    <row r="1434" spans="1:8" ht="12.6" thickBot="1">
      <c r="A1434" s="100"/>
      <c r="B1434" s="94"/>
      <c r="C1434" s="107"/>
      <c r="D1434" s="85"/>
      <c r="E1434" s="85"/>
      <c r="F1434" s="102"/>
      <c r="G1434" s="104"/>
      <c r="H1434" s="105"/>
    </row>
    <row r="1435" spans="1:8">
      <c r="A1435" s="108"/>
      <c r="B1435" s="109"/>
      <c r="C1435" s="110"/>
      <c r="D1435" s="111"/>
      <c r="E1435" s="111"/>
      <c r="F1435" s="111" t="s">
        <v>53</v>
      </c>
      <c r="G1435" s="112"/>
      <c r="H1435" s="113">
        <f>SUM(H1386:H1433)</f>
        <v>3594500</v>
      </c>
    </row>
    <row r="1436" spans="1:8" ht="14.4" thickBot="1">
      <c r="A1436" s="114"/>
      <c r="B1436" s="115"/>
      <c r="C1436" s="116"/>
      <c r="D1436" s="116"/>
      <c r="E1436" s="117"/>
      <c r="F1436" s="118" t="s">
        <v>26</v>
      </c>
      <c r="G1436" s="119"/>
      <c r="H1436" s="120"/>
    </row>
    <row r="1437" spans="1:8">
      <c r="A1437" s="121" t="s">
        <v>27</v>
      </c>
      <c r="B1437" s="122"/>
      <c r="C1437" s="122"/>
      <c r="D1437" s="122"/>
      <c r="E1437" s="122"/>
      <c r="F1437" s="123" t="s">
        <v>28</v>
      </c>
      <c r="G1437" s="124"/>
      <c r="H1437" s="113">
        <f>H1435+H1436</f>
        <v>3594500</v>
      </c>
    </row>
    <row r="1438" spans="1:8" ht="15" thickBot="1">
      <c r="A1438" s="125"/>
      <c r="B1438" s="126" t="s">
        <v>173</v>
      </c>
      <c r="C1438" s="127"/>
      <c r="D1438" s="127"/>
      <c r="E1438" s="127"/>
      <c r="F1438" s="128" t="s">
        <v>30</v>
      </c>
      <c r="G1438" s="129"/>
      <c r="H1438" s="130">
        <f>ROUND(H1437,-2)</f>
        <v>3594500</v>
      </c>
    </row>
    <row r="1439" spans="1:8">
      <c r="A1439" s="131"/>
      <c r="B1439" s="131"/>
      <c r="C1439" s="131"/>
      <c r="D1439" s="131"/>
      <c r="E1439" s="131"/>
      <c r="F1439" s="131"/>
      <c r="G1439" s="131"/>
      <c r="H1439" s="132"/>
    </row>
    <row r="1440" spans="1:8">
      <c r="A1440" s="6"/>
      <c r="B1440" s="6"/>
      <c r="C1440" s="6"/>
      <c r="D1440" s="6"/>
      <c r="E1440" s="6"/>
      <c r="F1440" s="6"/>
      <c r="G1440" s="1591" t="s">
        <v>122</v>
      </c>
      <c r="H1440" s="1591"/>
    </row>
    <row r="1441" spans="1:8">
      <c r="A1441" s="1591" t="s">
        <v>31</v>
      </c>
      <c r="B1441" s="1591"/>
      <c r="C1441" s="1591" t="s">
        <v>32</v>
      </c>
      <c r="D1441" s="1591"/>
      <c r="E1441" s="1591"/>
      <c r="F1441" s="6"/>
      <c r="G1441" s="1591" t="s">
        <v>33</v>
      </c>
      <c r="H1441" s="1591"/>
    </row>
    <row r="1442" spans="1:8">
      <c r="A1442" s="6"/>
      <c r="B1442" s="6"/>
      <c r="C1442" s="6"/>
      <c r="D1442" s="6"/>
      <c r="E1442" s="6"/>
      <c r="F1442" s="6"/>
      <c r="G1442" s="6"/>
      <c r="H1442" s="6"/>
    </row>
    <row r="1443" spans="1:8">
      <c r="A1443" s="6"/>
      <c r="B1443" s="6"/>
      <c r="C1443" s="6"/>
      <c r="D1443" s="6"/>
      <c r="E1443" s="6"/>
      <c r="F1443" s="6"/>
      <c r="G1443" s="6"/>
      <c r="H1443" s="6"/>
    </row>
    <row r="1444" spans="1:8">
      <c r="A1444" s="6"/>
      <c r="B1444" s="6"/>
      <c r="C1444" s="6"/>
      <c r="D1444" s="6"/>
      <c r="E1444" s="6"/>
      <c r="F1444" s="6"/>
      <c r="G1444" s="6"/>
      <c r="H1444" s="6"/>
    </row>
    <row r="1445" spans="1:8">
      <c r="A1445" s="1590" t="s">
        <v>34</v>
      </c>
      <c r="B1445" s="1590"/>
      <c r="C1445" s="1590" t="s">
        <v>35</v>
      </c>
      <c r="D1445" s="1590"/>
      <c r="E1445" s="1590"/>
      <c r="F1445" s="6"/>
      <c r="G1445" s="1590" t="s">
        <v>36</v>
      </c>
      <c r="H1445" s="1590"/>
    </row>
    <row r="1446" spans="1:8">
      <c r="A1446" s="1591" t="s">
        <v>37</v>
      </c>
      <c r="B1446" s="1591"/>
      <c r="C1446" s="1591" t="s">
        <v>38</v>
      </c>
      <c r="D1446" s="1591"/>
      <c r="E1446" s="1591"/>
      <c r="F1446" s="6"/>
      <c r="G1446" s="1591" t="s">
        <v>39</v>
      </c>
      <c r="H1446" s="1591"/>
    </row>
    <row r="1447" spans="1:8">
      <c r="A1447" s="5"/>
      <c r="B1447" s="5"/>
      <c r="C1447" s="5"/>
      <c r="D1447" s="5"/>
      <c r="E1447" s="5"/>
      <c r="F1447" s="6"/>
      <c r="G1447" s="5"/>
      <c r="H1447" s="5"/>
    </row>
    <row r="1449" spans="1:8" ht="18" customHeight="1"/>
    <row r="1450" spans="1:8" ht="18" customHeight="1"/>
    <row r="1451" spans="1:8" ht="18" customHeight="1">
      <c r="A1451" s="1535" t="s">
        <v>174</v>
      </c>
      <c r="B1451" s="1535"/>
      <c r="C1451" s="1535"/>
      <c r="D1451" s="1535"/>
      <c r="E1451" s="1535"/>
      <c r="F1451" s="1535"/>
      <c r="G1451" s="1535"/>
      <c r="H1451" s="1535"/>
    </row>
    <row r="1452" spans="1:8" ht="18" customHeight="1">
      <c r="A1452" s="1535" t="s">
        <v>175</v>
      </c>
      <c r="B1452" s="1535"/>
      <c r="C1452" s="1535"/>
      <c r="D1452" s="1535"/>
      <c r="E1452" s="1535"/>
      <c r="F1452" s="1535"/>
      <c r="G1452" s="1535"/>
      <c r="H1452" s="1535"/>
    </row>
    <row r="1453" spans="1:8" ht="18" customHeight="1">
      <c r="A1453" s="1535" t="s">
        <v>176</v>
      </c>
      <c r="B1453" s="1535"/>
      <c r="C1453" s="1535"/>
      <c r="D1453" s="1535"/>
      <c r="E1453" s="1535"/>
      <c r="F1453" s="1535"/>
      <c r="G1453" s="1535"/>
      <c r="H1453" s="1535"/>
    </row>
    <row r="1454" spans="1:8" ht="18" customHeight="1">
      <c r="A1454" s="7"/>
      <c r="B1454" s="7"/>
      <c r="C1454" s="7"/>
      <c r="D1454" s="7"/>
      <c r="E1454" s="7"/>
      <c r="F1454" s="7"/>
      <c r="G1454" s="7"/>
      <c r="H1454" s="7"/>
    </row>
    <row r="1455" spans="1:8" ht="18" customHeight="1" thickBot="1">
      <c r="A1455" s="7"/>
      <c r="B1455" s="7"/>
      <c r="C1455" s="7"/>
      <c r="D1455" s="7"/>
      <c r="E1455" s="7"/>
      <c r="F1455" s="7"/>
      <c r="G1455" s="7"/>
      <c r="H1455" s="7"/>
    </row>
    <row r="1456" spans="1:8" ht="18" customHeight="1">
      <c r="A1456" s="1619" t="s">
        <v>3</v>
      </c>
      <c r="B1456" s="1610" t="s">
        <v>4</v>
      </c>
      <c r="C1456" s="1610" t="s">
        <v>5</v>
      </c>
      <c r="D1456" s="1610" t="s">
        <v>6</v>
      </c>
      <c r="E1456" s="1610" t="s">
        <v>7</v>
      </c>
      <c r="F1456" s="133" t="s">
        <v>8</v>
      </c>
      <c r="G1456" s="133" t="s">
        <v>9</v>
      </c>
      <c r="H1456" s="134" t="s">
        <v>10</v>
      </c>
    </row>
    <row r="1457" spans="1:8" ht="18" customHeight="1">
      <c r="A1457" s="1620"/>
      <c r="B1457" s="1611"/>
      <c r="C1457" s="1611"/>
      <c r="D1457" s="1611"/>
      <c r="E1457" s="1611"/>
      <c r="F1457" s="135" t="s">
        <v>11</v>
      </c>
      <c r="G1457" s="135" t="s">
        <v>11</v>
      </c>
      <c r="H1457" s="136" t="s">
        <v>11</v>
      </c>
    </row>
    <row r="1458" spans="1:8" ht="18" customHeight="1">
      <c r="A1458" s="137" t="s">
        <v>12</v>
      </c>
      <c r="B1458" s="138" t="s">
        <v>13</v>
      </c>
      <c r="C1458" s="139"/>
      <c r="D1458" s="139"/>
      <c r="E1458" s="139"/>
      <c r="F1458" s="139"/>
      <c r="G1458" s="139"/>
      <c r="H1458" s="140"/>
    </row>
    <row r="1459" spans="1:8" ht="18" customHeight="1">
      <c r="A1459" s="137"/>
      <c r="B1459" s="141" t="s">
        <v>177</v>
      </c>
      <c r="C1459" s="142"/>
      <c r="D1459" s="142"/>
      <c r="E1459" s="142"/>
      <c r="F1459" s="142"/>
      <c r="G1459" s="142"/>
      <c r="H1459" s="143"/>
    </row>
    <row r="1460" spans="1:8" ht="18" customHeight="1">
      <c r="A1460" s="137"/>
      <c r="B1460" s="141" t="s">
        <v>178</v>
      </c>
      <c r="C1460" s="144">
        <v>6</v>
      </c>
      <c r="D1460" s="142" t="s">
        <v>179</v>
      </c>
      <c r="E1460" s="142" t="s">
        <v>16</v>
      </c>
      <c r="F1460" s="145">
        <v>1600000</v>
      </c>
      <c r="G1460" s="145">
        <f t="shared" ref="G1460:G1467" si="18">C1460*F1460</f>
        <v>9600000</v>
      </c>
      <c r="H1460" s="146"/>
    </row>
    <row r="1461" spans="1:8" ht="18" customHeight="1">
      <c r="A1461" s="137"/>
      <c r="B1461" s="141" t="s">
        <v>180</v>
      </c>
      <c r="C1461" s="144">
        <v>1</v>
      </c>
      <c r="D1461" s="142" t="s">
        <v>44</v>
      </c>
      <c r="E1461" s="142" t="s">
        <v>16</v>
      </c>
      <c r="F1461" s="145">
        <v>2950000</v>
      </c>
      <c r="G1461" s="145">
        <f t="shared" si="18"/>
        <v>2950000</v>
      </c>
      <c r="H1461" s="146"/>
    </row>
    <row r="1462" spans="1:8" ht="18" customHeight="1">
      <c r="A1462" s="137"/>
      <c r="B1462" s="141" t="s">
        <v>181</v>
      </c>
      <c r="C1462" s="144">
        <v>1</v>
      </c>
      <c r="D1462" s="142" t="s">
        <v>44</v>
      </c>
      <c r="E1462" s="142" t="s">
        <v>16</v>
      </c>
      <c r="F1462" s="145">
        <v>9788625</v>
      </c>
      <c r="G1462" s="145">
        <f t="shared" si="18"/>
        <v>9788625</v>
      </c>
      <c r="H1462" s="146"/>
    </row>
    <row r="1463" spans="1:8" ht="18" customHeight="1">
      <c r="A1463" s="137"/>
      <c r="B1463" s="141" t="s">
        <v>182</v>
      </c>
      <c r="C1463" s="144">
        <v>1</v>
      </c>
      <c r="D1463" s="142" t="s">
        <v>44</v>
      </c>
      <c r="E1463" s="142" t="s">
        <v>16</v>
      </c>
      <c r="F1463" s="145">
        <v>2072703</v>
      </c>
      <c r="G1463" s="145">
        <f t="shared" si="18"/>
        <v>2072703</v>
      </c>
      <c r="H1463" s="146"/>
    </row>
    <row r="1464" spans="1:8" ht="18" customHeight="1">
      <c r="A1464" s="137"/>
      <c r="B1464" s="141" t="s">
        <v>183</v>
      </c>
      <c r="C1464" s="144">
        <v>112</v>
      </c>
      <c r="D1464" s="142" t="s">
        <v>44</v>
      </c>
      <c r="E1464" s="142" t="s">
        <v>82</v>
      </c>
      <c r="F1464" s="145">
        <v>5868</v>
      </c>
      <c r="G1464" s="145">
        <f t="shared" si="18"/>
        <v>657216</v>
      </c>
      <c r="H1464" s="146"/>
    </row>
    <row r="1465" spans="1:8" ht="18" customHeight="1">
      <c r="A1465" s="137"/>
      <c r="B1465" s="141" t="s">
        <v>184</v>
      </c>
      <c r="C1465" s="144">
        <v>3</v>
      </c>
      <c r="D1465" s="142" t="s">
        <v>179</v>
      </c>
      <c r="E1465" s="142" t="s">
        <v>82</v>
      </c>
      <c r="F1465" s="145">
        <v>220000</v>
      </c>
      <c r="G1465" s="145">
        <f t="shared" si="18"/>
        <v>660000</v>
      </c>
      <c r="H1465" s="146"/>
    </row>
    <row r="1466" spans="1:8" ht="18" customHeight="1">
      <c r="A1466" s="137"/>
      <c r="B1466" s="141" t="s">
        <v>185</v>
      </c>
      <c r="C1466" s="144">
        <v>5</v>
      </c>
      <c r="D1466" s="142" t="s">
        <v>44</v>
      </c>
      <c r="E1466" s="142" t="s">
        <v>82</v>
      </c>
      <c r="F1466" s="145">
        <v>665500</v>
      </c>
      <c r="G1466" s="145">
        <f t="shared" si="18"/>
        <v>3327500</v>
      </c>
      <c r="H1466" s="146"/>
    </row>
    <row r="1467" spans="1:8" ht="14.4">
      <c r="A1467" s="137"/>
      <c r="B1467" s="141" t="s">
        <v>186</v>
      </c>
      <c r="C1467" s="144">
        <v>1</v>
      </c>
      <c r="D1467" s="142" t="s">
        <v>44</v>
      </c>
      <c r="E1467" s="142" t="s">
        <v>16</v>
      </c>
      <c r="F1467" s="145">
        <v>500000</v>
      </c>
      <c r="G1467" s="145">
        <f t="shared" si="18"/>
        <v>500000</v>
      </c>
      <c r="H1467" s="146"/>
    </row>
    <row r="1468" spans="1:8" ht="14.4">
      <c r="A1468" s="137"/>
      <c r="B1468" s="141"/>
      <c r="C1468" s="144"/>
      <c r="D1468" s="142"/>
      <c r="E1468" s="142"/>
      <c r="F1468" s="145"/>
      <c r="G1468" s="145"/>
      <c r="H1468" s="147"/>
    </row>
    <row r="1469" spans="1:8" ht="14.4">
      <c r="A1469" s="137"/>
      <c r="B1469" s="141" t="s">
        <v>187</v>
      </c>
      <c r="C1469" s="144"/>
      <c r="D1469" s="142"/>
      <c r="E1469" s="142"/>
      <c r="F1469" s="145"/>
      <c r="G1469" s="145"/>
      <c r="H1469" s="146"/>
    </row>
    <row r="1470" spans="1:8" ht="14.4">
      <c r="A1470" s="137"/>
      <c r="B1470" s="141" t="s">
        <v>188</v>
      </c>
      <c r="C1470" s="144">
        <v>3</v>
      </c>
      <c r="D1470" s="142" t="s">
        <v>179</v>
      </c>
      <c r="E1470" s="142" t="s">
        <v>16</v>
      </c>
      <c r="F1470" s="145">
        <v>1600000</v>
      </c>
      <c r="G1470" s="145">
        <f t="shared" ref="G1470:G1478" si="19">C1470*F1470</f>
        <v>4800000</v>
      </c>
      <c r="H1470" s="146"/>
    </row>
    <row r="1471" spans="1:8" ht="14.4">
      <c r="A1471" s="137"/>
      <c r="B1471" s="141" t="s">
        <v>189</v>
      </c>
      <c r="C1471" s="144">
        <v>1</v>
      </c>
      <c r="D1471" s="142" t="s">
        <v>44</v>
      </c>
      <c r="E1471" s="142" t="s">
        <v>16</v>
      </c>
      <c r="F1471" s="145">
        <v>2287120</v>
      </c>
      <c r="G1471" s="145">
        <f t="shared" si="19"/>
        <v>2287120</v>
      </c>
      <c r="H1471" s="146"/>
    </row>
    <row r="1472" spans="1:8" ht="14.4">
      <c r="A1472" s="137"/>
      <c r="B1472" s="141" t="s">
        <v>190</v>
      </c>
      <c r="C1472" s="144">
        <v>1</v>
      </c>
      <c r="D1472" s="142" t="s">
        <v>44</v>
      </c>
      <c r="E1472" s="142" t="s">
        <v>16</v>
      </c>
      <c r="F1472" s="145">
        <v>9788625</v>
      </c>
      <c r="G1472" s="145">
        <f t="shared" si="19"/>
        <v>9788625</v>
      </c>
      <c r="H1472" s="146"/>
    </row>
    <row r="1473" spans="1:8" ht="14.4">
      <c r="A1473" s="137"/>
      <c r="B1473" s="141" t="s">
        <v>191</v>
      </c>
      <c r="C1473" s="144">
        <v>1</v>
      </c>
      <c r="D1473" s="142" t="s">
        <v>44</v>
      </c>
      <c r="E1473" s="142" t="s">
        <v>16</v>
      </c>
      <c r="F1473" s="145">
        <v>7726500</v>
      </c>
      <c r="G1473" s="145">
        <f t="shared" si="19"/>
        <v>7726500</v>
      </c>
      <c r="H1473" s="146"/>
    </row>
    <row r="1474" spans="1:8" ht="14.4">
      <c r="A1474" s="137"/>
      <c r="B1474" s="141" t="s">
        <v>192</v>
      </c>
      <c r="C1474" s="144">
        <v>2</v>
      </c>
      <c r="D1474" s="142" t="s">
        <v>44</v>
      </c>
      <c r="E1474" s="142" t="s">
        <v>16</v>
      </c>
      <c r="F1474" s="145">
        <v>2358593</v>
      </c>
      <c r="G1474" s="145">
        <f t="shared" si="19"/>
        <v>4717186</v>
      </c>
      <c r="H1474" s="146"/>
    </row>
    <row r="1475" spans="1:8" ht="14.4">
      <c r="A1475" s="137"/>
      <c r="B1475" s="141" t="s">
        <v>193</v>
      </c>
      <c r="C1475" s="144">
        <v>4</v>
      </c>
      <c r="D1475" s="142" t="s">
        <v>44</v>
      </c>
      <c r="E1475" s="142" t="s">
        <v>82</v>
      </c>
      <c r="F1475" s="145">
        <v>665000</v>
      </c>
      <c r="G1475" s="145">
        <f t="shared" si="19"/>
        <v>2660000</v>
      </c>
      <c r="H1475" s="146"/>
    </row>
    <row r="1476" spans="1:8" ht="14.4">
      <c r="A1476" s="137"/>
      <c r="B1476" s="141" t="s">
        <v>184</v>
      </c>
      <c r="C1476" s="144">
        <v>3</v>
      </c>
      <c r="D1476" s="142" t="s">
        <v>179</v>
      </c>
      <c r="E1476" s="142" t="s">
        <v>82</v>
      </c>
      <c r="F1476" s="145">
        <v>220000</v>
      </c>
      <c r="G1476" s="145">
        <f t="shared" si="19"/>
        <v>660000</v>
      </c>
      <c r="H1476" s="146"/>
    </row>
    <row r="1477" spans="1:8" ht="14.4">
      <c r="A1477" s="137"/>
      <c r="B1477" s="141" t="s">
        <v>180</v>
      </c>
      <c r="C1477" s="144">
        <v>1</v>
      </c>
      <c r="D1477" s="142" t="s">
        <v>44</v>
      </c>
      <c r="E1477" s="142" t="s">
        <v>16</v>
      </c>
      <c r="F1477" s="145">
        <v>2950000</v>
      </c>
      <c r="G1477" s="145">
        <f t="shared" si="19"/>
        <v>2950000</v>
      </c>
      <c r="H1477" s="146"/>
    </row>
    <row r="1478" spans="1:8" ht="14.4">
      <c r="A1478" s="137"/>
      <c r="B1478" s="141" t="s">
        <v>194</v>
      </c>
      <c r="C1478" s="144">
        <v>64</v>
      </c>
      <c r="D1478" s="142" t="s">
        <v>44</v>
      </c>
      <c r="E1478" s="142" t="s">
        <v>82</v>
      </c>
      <c r="F1478" s="145">
        <v>5868</v>
      </c>
      <c r="G1478" s="145">
        <f t="shared" si="19"/>
        <v>375552</v>
      </c>
      <c r="H1478" s="146"/>
    </row>
    <row r="1479" spans="1:8" ht="14.4">
      <c r="A1479" s="137"/>
      <c r="B1479" s="141"/>
      <c r="C1479" s="144"/>
      <c r="D1479" s="142"/>
      <c r="E1479" s="142"/>
      <c r="F1479" s="145"/>
      <c r="G1479" s="145"/>
      <c r="H1479" s="147"/>
    </row>
    <row r="1480" spans="1:8" ht="14.4">
      <c r="A1480" s="137"/>
      <c r="B1480" s="141" t="s">
        <v>195</v>
      </c>
      <c r="C1480" s="144"/>
      <c r="D1480" s="142"/>
      <c r="E1480" s="142"/>
      <c r="F1480" s="145"/>
      <c r="G1480" s="145"/>
      <c r="H1480" s="146"/>
    </row>
    <row r="1481" spans="1:8" ht="14.4">
      <c r="A1481" s="137"/>
      <c r="B1481" s="141" t="s">
        <v>196</v>
      </c>
      <c r="C1481" s="144">
        <v>1</v>
      </c>
      <c r="D1481" s="142" t="s">
        <v>21</v>
      </c>
      <c r="E1481" s="142" t="s">
        <v>197</v>
      </c>
      <c r="F1481" s="148" t="s">
        <v>126</v>
      </c>
      <c r="G1481" s="148" t="s">
        <v>126</v>
      </c>
      <c r="H1481" s="146"/>
    </row>
    <row r="1482" spans="1:8" ht="14.4">
      <c r="A1482" s="137"/>
      <c r="B1482" s="141" t="s">
        <v>198</v>
      </c>
      <c r="C1482" s="144">
        <v>1</v>
      </c>
      <c r="D1482" s="142" t="s">
        <v>21</v>
      </c>
      <c r="E1482" s="142" t="s">
        <v>197</v>
      </c>
      <c r="F1482" s="148" t="s">
        <v>126</v>
      </c>
      <c r="G1482" s="148" t="s">
        <v>126</v>
      </c>
      <c r="H1482" s="146"/>
    </row>
    <row r="1483" spans="1:8" ht="14.4">
      <c r="A1483" s="137"/>
      <c r="B1483" s="141" t="s">
        <v>199</v>
      </c>
      <c r="C1483" s="144">
        <v>8</v>
      </c>
      <c r="D1483" s="142" t="s">
        <v>44</v>
      </c>
      <c r="E1483" s="142" t="s">
        <v>16</v>
      </c>
      <c r="F1483" s="145">
        <v>17500</v>
      </c>
      <c r="G1483" s="145">
        <f>C1483*F1483</f>
        <v>140000</v>
      </c>
      <c r="H1483" s="146"/>
    </row>
    <row r="1484" spans="1:8" ht="14.4">
      <c r="A1484" s="137"/>
      <c r="B1484" s="141"/>
      <c r="C1484" s="144"/>
      <c r="D1484" s="142"/>
      <c r="E1484" s="142"/>
      <c r="F1484" s="145"/>
      <c r="G1484" s="145"/>
      <c r="H1484" s="147"/>
    </row>
    <row r="1485" spans="1:8" ht="14.4">
      <c r="A1485" s="137"/>
      <c r="B1485" s="141" t="s">
        <v>200</v>
      </c>
      <c r="C1485" s="144">
        <v>1</v>
      </c>
      <c r="D1485" s="142" t="s">
        <v>21</v>
      </c>
      <c r="E1485" s="142" t="s">
        <v>16</v>
      </c>
      <c r="F1485" s="145">
        <v>109886825</v>
      </c>
      <c r="G1485" s="145">
        <f>C1485*F1485</f>
        <v>109886825</v>
      </c>
      <c r="H1485" s="146"/>
    </row>
    <row r="1486" spans="1:8" ht="14.4">
      <c r="A1486" s="137"/>
      <c r="B1486" s="141" t="s">
        <v>201</v>
      </c>
      <c r="C1486" s="144"/>
      <c r="D1486" s="142"/>
      <c r="E1486" s="142"/>
      <c r="F1486" s="145"/>
      <c r="G1486" s="145"/>
      <c r="H1486" s="146"/>
    </row>
    <row r="1487" spans="1:8" ht="14.4">
      <c r="A1487" s="137"/>
      <c r="B1487" s="141" t="s">
        <v>202</v>
      </c>
      <c r="C1487" s="144">
        <v>130</v>
      </c>
      <c r="D1487" s="142" t="s">
        <v>179</v>
      </c>
      <c r="E1487" s="142" t="s">
        <v>16</v>
      </c>
      <c r="F1487" s="145">
        <v>203566</v>
      </c>
      <c r="G1487" s="145">
        <f>C1487*F1487</f>
        <v>26463580</v>
      </c>
      <c r="H1487" s="147"/>
    </row>
    <row r="1488" spans="1:8" ht="14.4">
      <c r="A1488" s="137"/>
      <c r="B1488" s="141" t="s">
        <v>203</v>
      </c>
      <c r="C1488" s="144">
        <v>12</v>
      </c>
      <c r="D1488" s="142" t="s">
        <v>44</v>
      </c>
      <c r="E1488" s="142" t="s">
        <v>16</v>
      </c>
      <c r="F1488" s="145">
        <v>97514</v>
      </c>
      <c r="G1488" s="145">
        <f>C1488*F1488</f>
        <v>1170168</v>
      </c>
      <c r="H1488" s="147"/>
    </row>
    <row r="1489" spans="1:8" ht="15" thickBot="1">
      <c r="A1489" s="149"/>
      <c r="B1489" s="150"/>
      <c r="C1489" s="151"/>
      <c r="D1489" s="152"/>
      <c r="E1489" s="152"/>
      <c r="F1489" s="153"/>
      <c r="G1489" s="153"/>
      <c r="H1489" s="154">
        <f>SUM(G1460:G1489)</f>
        <v>203181600</v>
      </c>
    </row>
    <row r="1490" spans="1:8" ht="14.4">
      <c r="A1490" s="137"/>
      <c r="B1490" s="141"/>
      <c r="C1490" s="142"/>
      <c r="D1490" s="142"/>
      <c r="E1490" s="142"/>
      <c r="F1490" s="145"/>
      <c r="G1490" s="145"/>
      <c r="H1490" s="146"/>
    </row>
    <row r="1491" spans="1:8" ht="14.4">
      <c r="A1491" s="137" t="s">
        <v>18</v>
      </c>
      <c r="B1491" s="155" t="s">
        <v>19</v>
      </c>
      <c r="C1491" s="156"/>
      <c r="D1491" s="142"/>
      <c r="E1491" s="142"/>
      <c r="F1491" s="157"/>
      <c r="G1491" s="158"/>
      <c r="H1491" s="159"/>
    </row>
    <row r="1492" spans="1:8" ht="14.4">
      <c r="A1492" s="137"/>
      <c r="B1492" s="157" t="s">
        <v>177</v>
      </c>
      <c r="C1492" s="156"/>
      <c r="D1492" s="142"/>
      <c r="E1492" s="142"/>
      <c r="F1492" s="160"/>
      <c r="G1492" s="161"/>
      <c r="H1492" s="162"/>
    </row>
    <row r="1493" spans="1:8" ht="14.4">
      <c r="A1493" s="137"/>
      <c r="B1493" s="157" t="s">
        <v>204</v>
      </c>
      <c r="C1493" s="163">
        <v>6</v>
      </c>
      <c r="D1493" s="142" t="s">
        <v>179</v>
      </c>
      <c r="E1493" s="142" t="s">
        <v>16</v>
      </c>
      <c r="F1493" s="160">
        <v>47662.5</v>
      </c>
      <c r="G1493" s="161">
        <f t="shared" ref="G1493:G1498" si="20">C1493*F1493</f>
        <v>285975</v>
      </c>
      <c r="H1493" s="162"/>
    </row>
    <row r="1494" spans="1:8" ht="14.4">
      <c r="A1494" s="137"/>
      <c r="B1494" s="582" t="s">
        <v>205</v>
      </c>
      <c r="C1494" s="164">
        <v>7.5</v>
      </c>
      <c r="D1494" s="142" t="s">
        <v>179</v>
      </c>
      <c r="E1494" s="142" t="s">
        <v>82</v>
      </c>
      <c r="F1494" s="160">
        <v>189231.26</v>
      </c>
      <c r="G1494" s="161">
        <f t="shared" si="20"/>
        <v>1419234.4500000002</v>
      </c>
      <c r="H1494" s="162"/>
    </row>
    <row r="1495" spans="1:8" ht="14.4">
      <c r="A1495" s="137"/>
      <c r="B1495" s="582" t="s">
        <v>206</v>
      </c>
      <c r="C1495" s="163">
        <v>3</v>
      </c>
      <c r="D1495" s="142" t="s">
        <v>179</v>
      </c>
      <c r="E1495" s="142" t="s">
        <v>82</v>
      </c>
      <c r="F1495" s="160">
        <v>49076.36</v>
      </c>
      <c r="G1495" s="161">
        <f t="shared" si="20"/>
        <v>147229.08000000002</v>
      </c>
      <c r="H1495" s="162"/>
    </row>
    <row r="1496" spans="1:8" ht="14.4">
      <c r="A1496" s="137"/>
      <c r="B1496" s="582" t="s">
        <v>207</v>
      </c>
      <c r="C1496" s="163">
        <v>1</v>
      </c>
      <c r="D1496" s="142" t="s">
        <v>44</v>
      </c>
      <c r="E1496" s="142" t="s">
        <v>16</v>
      </c>
      <c r="F1496" s="160">
        <v>197250</v>
      </c>
      <c r="G1496" s="161">
        <f t="shared" si="20"/>
        <v>197250</v>
      </c>
      <c r="H1496" s="162"/>
    </row>
    <row r="1497" spans="1:8" ht="14.4">
      <c r="A1497" s="165"/>
      <c r="B1497" s="582" t="s">
        <v>208</v>
      </c>
      <c r="C1497" s="163">
        <v>1</v>
      </c>
      <c r="D1497" s="166" t="s">
        <v>44</v>
      </c>
      <c r="E1497" s="142" t="s">
        <v>82</v>
      </c>
      <c r="F1497" s="167">
        <v>642444</v>
      </c>
      <c r="G1497" s="161">
        <f t="shared" si="20"/>
        <v>642444</v>
      </c>
      <c r="H1497" s="168"/>
    </row>
    <row r="1498" spans="1:8" ht="14.4">
      <c r="A1498" s="165"/>
      <c r="B1498" s="157" t="s">
        <v>209</v>
      </c>
      <c r="C1498" s="163">
        <v>1</v>
      </c>
      <c r="D1498" s="166" t="s">
        <v>44</v>
      </c>
      <c r="E1498" s="142" t="s">
        <v>51</v>
      </c>
      <c r="F1498" s="167">
        <v>197250</v>
      </c>
      <c r="G1498" s="161">
        <f t="shared" si="20"/>
        <v>197250</v>
      </c>
      <c r="H1498" s="168"/>
    </row>
    <row r="1499" spans="1:8" ht="14.4">
      <c r="A1499" s="137"/>
      <c r="B1499" s="157"/>
      <c r="C1499" s="169"/>
      <c r="D1499" s="142"/>
      <c r="E1499" s="142"/>
      <c r="F1499" s="167"/>
      <c r="G1499" s="158"/>
      <c r="H1499" s="168"/>
    </row>
    <row r="1500" spans="1:8" ht="14.4">
      <c r="A1500" s="137"/>
      <c r="B1500" s="157" t="s">
        <v>187</v>
      </c>
      <c r="C1500" s="170"/>
      <c r="D1500" s="166"/>
      <c r="E1500" s="142"/>
      <c r="F1500" s="167"/>
      <c r="G1500" s="158"/>
      <c r="H1500" s="159"/>
    </row>
    <row r="1501" spans="1:8" ht="14.4">
      <c r="A1501" s="137"/>
      <c r="B1501" s="157" t="s">
        <v>210</v>
      </c>
      <c r="C1501" s="163">
        <v>3</v>
      </c>
      <c r="D1501" s="166" t="s">
        <v>179</v>
      </c>
      <c r="E1501" s="142" t="s">
        <v>82</v>
      </c>
      <c r="F1501" s="167">
        <v>47662.5</v>
      </c>
      <c r="G1501" s="158">
        <f t="shared" ref="G1501:G1507" si="21">F1501*C1501</f>
        <v>142987.5</v>
      </c>
      <c r="H1501" s="159"/>
    </row>
    <row r="1502" spans="1:8" ht="14.4">
      <c r="A1502" s="137"/>
      <c r="B1502" s="157" t="s">
        <v>211</v>
      </c>
      <c r="C1502" s="163">
        <v>6</v>
      </c>
      <c r="D1502" s="166" t="s">
        <v>179</v>
      </c>
      <c r="E1502" s="142" t="s">
        <v>82</v>
      </c>
      <c r="F1502" s="167">
        <v>189231.26</v>
      </c>
      <c r="G1502" s="158">
        <f t="shared" si="21"/>
        <v>1135387.56</v>
      </c>
      <c r="H1502" s="159"/>
    </row>
    <row r="1503" spans="1:8" ht="14.4">
      <c r="A1503" s="137"/>
      <c r="B1503" s="582" t="s">
        <v>206</v>
      </c>
      <c r="C1503" s="163">
        <v>6</v>
      </c>
      <c r="D1503" s="166" t="s">
        <v>179</v>
      </c>
      <c r="E1503" s="142" t="s">
        <v>82</v>
      </c>
      <c r="F1503" s="167">
        <v>49076.36</v>
      </c>
      <c r="G1503" s="158">
        <f t="shared" si="21"/>
        <v>294458.16000000003</v>
      </c>
      <c r="H1503" s="159"/>
    </row>
    <row r="1504" spans="1:8" ht="14.4">
      <c r="A1504" s="137"/>
      <c r="B1504" s="157" t="s">
        <v>212</v>
      </c>
      <c r="C1504" s="163">
        <v>1</v>
      </c>
      <c r="D1504" s="166" t="s">
        <v>44</v>
      </c>
      <c r="E1504" s="142" t="s">
        <v>51</v>
      </c>
      <c r="F1504" s="167">
        <v>197250</v>
      </c>
      <c r="G1504" s="158">
        <f t="shared" si="21"/>
        <v>197250</v>
      </c>
      <c r="H1504" s="159"/>
    </row>
    <row r="1505" spans="1:8" ht="14.4">
      <c r="A1505" s="137"/>
      <c r="B1505" s="582" t="s">
        <v>208</v>
      </c>
      <c r="C1505" s="163">
        <v>1</v>
      </c>
      <c r="D1505" s="166" t="s">
        <v>44</v>
      </c>
      <c r="E1505" s="142" t="s">
        <v>82</v>
      </c>
      <c r="F1505" s="167">
        <v>642444</v>
      </c>
      <c r="G1505" s="158">
        <f t="shared" si="21"/>
        <v>642444</v>
      </c>
      <c r="H1505" s="159"/>
    </row>
    <row r="1506" spans="1:8" ht="14.4">
      <c r="A1506" s="137"/>
      <c r="B1506" s="157" t="s">
        <v>213</v>
      </c>
      <c r="C1506" s="163">
        <v>1</v>
      </c>
      <c r="D1506" s="166" t="s">
        <v>44</v>
      </c>
      <c r="E1506" s="142" t="s">
        <v>51</v>
      </c>
      <c r="F1506" s="167">
        <v>642444</v>
      </c>
      <c r="G1506" s="158">
        <f t="shared" si="21"/>
        <v>642444</v>
      </c>
      <c r="H1506" s="159"/>
    </row>
    <row r="1507" spans="1:8" ht="14.4">
      <c r="A1507" s="137"/>
      <c r="B1507" s="157" t="s">
        <v>214</v>
      </c>
      <c r="C1507" s="163">
        <v>1</v>
      </c>
      <c r="D1507" s="166" t="s">
        <v>44</v>
      </c>
      <c r="E1507" s="142" t="s">
        <v>51</v>
      </c>
      <c r="F1507" s="167">
        <v>197250</v>
      </c>
      <c r="G1507" s="158">
        <f t="shared" si="21"/>
        <v>197250</v>
      </c>
      <c r="H1507" s="159"/>
    </row>
    <row r="1508" spans="1:8" ht="14.4">
      <c r="A1508" s="137"/>
      <c r="B1508" s="157"/>
      <c r="C1508" s="171"/>
      <c r="D1508" s="166"/>
      <c r="E1508" s="142"/>
      <c r="F1508" s="167"/>
      <c r="G1508" s="158"/>
      <c r="H1508" s="168"/>
    </row>
    <row r="1509" spans="1:8" ht="14.4">
      <c r="A1509" s="137"/>
      <c r="B1509" s="157" t="s">
        <v>215</v>
      </c>
      <c r="C1509" s="171">
        <v>1</v>
      </c>
      <c r="D1509" s="166" t="s">
        <v>21</v>
      </c>
      <c r="E1509" s="142" t="s">
        <v>16</v>
      </c>
      <c r="F1509" s="167">
        <v>6500000</v>
      </c>
      <c r="G1509" s="158">
        <f>F1509*C1509</f>
        <v>6500000</v>
      </c>
      <c r="H1509" s="159"/>
    </row>
    <row r="1510" spans="1:8" ht="14.4">
      <c r="A1510" s="137"/>
      <c r="B1510" s="157" t="s">
        <v>216</v>
      </c>
      <c r="C1510" s="170">
        <v>1.536</v>
      </c>
      <c r="D1510" s="166" t="s">
        <v>114</v>
      </c>
      <c r="E1510" s="142" t="s">
        <v>217</v>
      </c>
      <c r="F1510" s="167">
        <v>29891.09</v>
      </c>
      <c r="G1510" s="158">
        <f>F1510*C1510</f>
        <v>45912.714240000001</v>
      </c>
      <c r="H1510" s="159"/>
    </row>
    <row r="1511" spans="1:8" ht="14.4">
      <c r="A1511" s="137"/>
      <c r="B1511" s="157"/>
      <c r="C1511" s="171"/>
      <c r="D1511" s="166"/>
      <c r="E1511" s="142"/>
      <c r="F1511" s="167"/>
      <c r="G1511" s="158"/>
      <c r="H1511" s="168"/>
    </row>
    <row r="1512" spans="1:8" ht="14.4">
      <c r="A1512" s="137"/>
      <c r="B1512" s="157" t="s">
        <v>218</v>
      </c>
      <c r="C1512" s="171"/>
      <c r="D1512" s="166"/>
      <c r="E1512" s="142"/>
      <c r="F1512" s="167"/>
      <c r="G1512" s="158"/>
      <c r="H1512" s="168"/>
    </row>
    <row r="1513" spans="1:8" ht="14.4">
      <c r="A1513" s="137"/>
      <c r="B1513" s="157" t="s">
        <v>219</v>
      </c>
      <c r="C1513" s="171">
        <v>2.6459999999999999</v>
      </c>
      <c r="D1513" s="166" t="s">
        <v>105</v>
      </c>
      <c r="E1513" s="142" t="s">
        <v>220</v>
      </c>
      <c r="F1513" s="167">
        <v>1362118.39</v>
      </c>
      <c r="G1513" s="158">
        <f>C1513*F1513</f>
        <v>3604165.2599399998</v>
      </c>
      <c r="H1513" s="159"/>
    </row>
    <row r="1514" spans="1:8" ht="14.4">
      <c r="A1514" s="137"/>
      <c r="B1514" s="157" t="s">
        <v>221</v>
      </c>
      <c r="C1514" s="170"/>
      <c r="D1514" s="166"/>
      <c r="E1514" s="142"/>
      <c r="F1514" s="167"/>
      <c r="G1514" s="158"/>
      <c r="H1514" s="168"/>
    </row>
    <row r="1515" spans="1:8" ht="14.4">
      <c r="A1515" s="137"/>
      <c r="B1515" s="157" t="s">
        <v>222</v>
      </c>
      <c r="C1515" s="172">
        <v>1</v>
      </c>
      <c r="D1515" s="166" t="s">
        <v>223</v>
      </c>
      <c r="E1515" s="142" t="s">
        <v>16</v>
      </c>
      <c r="F1515" s="167">
        <v>450000</v>
      </c>
      <c r="G1515" s="158">
        <f>C1515*F1515</f>
        <v>450000</v>
      </c>
      <c r="H1515" s="168"/>
    </row>
    <row r="1516" spans="1:8" ht="14.4">
      <c r="A1516" s="137"/>
      <c r="B1516" s="157"/>
      <c r="C1516" s="170"/>
      <c r="D1516" s="166"/>
      <c r="E1516" s="142"/>
      <c r="F1516" s="167"/>
      <c r="G1516" s="158"/>
      <c r="H1516" s="168"/>
    </row>
    <row r="1517" spans="1:8" ht="14.4">
      <c r="A1517" s="137"/>
      <c r="B1517" s="157" t="s">
        <v>224</v>
      </c>
      <c r="C1517" s="173">
        <v>1</v>
      </c>
      <c r="D1517" s="166" t="s">
        <v>138</v>
      </c>
      <c r="E1517" s="142" t="s">
        <v>51</v>
      </c>
      <c r="F1517" s="167">
        <v>3000000</v>
      </c>
      <c r="G1517" s="158">
        <f>C1517*F1517</f>
        <v>3000000</v>
      </c>
      <c r="H1517" s="168"/>
    </row>
    <row r="1518" spans="1:8" ht="14.4">
      <c r="A1518" s="137"/>
      <c r="B1518" s="157" t="s">
        <v>225</v>
      </c>
      <c r="C1518" s="170"/>
      <c r="D1518" s="166"/>
      <c r="E1518" s="142"/>
      <c r="F1518" s="167"/>
      <c r="G1518" s="158"/>
      <c r="H1518" s="168"/>
    </row>
    <row r="1519" spans="1:8" ht="14.4">
      <c r="A1519" s="137"/>
      <c r="B1519" s="157"/>
      <c r="C1519" s="170"/>
      <c r="D1519" s="166"/>
      <c r="E1519" s="142"/>
      <c r="F1519" s="167"/>
      <c r="G1519" s="158"/>
      <c r="H1519" s="168"/>
    </row>
    <row r="1520" spans="1:8" ht="14.4">
      <c r="A1520" s="137"/>
      <c r="B1520" s="157" t="s">
        <v>226</v>
      </c>
      <c r="C1520" s="170"/>
      <c r="D1520" s="166"/>
      <c r="E1520" s="142"/>
      <c r="F1520" s="167"/>
      <c r="G1520" s="158"/>
      <c r="H1520" s="168"/>
    </row>
    <row r="1521" spans="1:8" ht="14.4">
      <c r="A1521" s="137"/>
      <c r="B1521" s="157" t="s">
        <v>227</v>
      </c>
      <c r="C1521" s="173">
        <v>1</v>
      </c>
      <c r="D1521" s="166" t="s">
        <v>21</v>
      </c>
      <c r="E1521" s="142" t="s">
        <v>51</v>
      </c>
      <c r="F1521" s="167">
        <v>2500000</v>
      </c>
      <c r="G1521" s="158">
        <f>C1521*F1521</f>
        <v>2500000</v>
      </c>
      <c r="H1521" s="168"/>
    </row>
    <row r="1522" spans="1:8" ht="14.4">
      <c r="A1522" s="137"/>
      <c r="B1522" s="157"/>
      <c r="C1522" s="170"/>
      <c r="D1522" s="166"/>
      <c r="E1522" s="142"/>
      <c r="F1522" s="167"/>
      <c r="G1522" s="158"/>
      <c r="H1522" s="168"/>
    </row>
    <row r="1523" spans="1:8" ht="14.4">
      <c r="A1523" s="137"/>
      <c r="B1523" s="157" t="s">
        <v>228</v>
      </c>
      <c r="C1523" s="170"/>
      <c r="D1523" s="166"/>
      <c r="E1523" s="142"/>
      <c r="F1523" s="167"/>
      <c r="G1523" s="158"/>
      <c r="H1523" s="168"/>
    </row>
    <row r="1524" spans="1:8" ht="14.4">
      <c r="A1524" s="137"/>
      <c r="B1524" s="157" t="s">
        <v>219</v>
      </c>
      <c r="C1524" s="170">
        <v>0.61699999999999999</v>
      </c>
      <c r="D1524" s="166" t="s">
        <v>105</v>
      </c>
      <c r="E1524" s="142" t="s">
        <v>220</v>
      </c>
      <c r="F1524" s="167">
        <v>1362118.39</v>
      </c>
      <c r="G1524" s="158">
        <f>C1524*F1524</f>
        <v>840427.04662999988</v>
      </c>
      <c r="H1524" s="168"/>
    </row>
    <row r="1525" spans="1:8" ht="14.4">
      <c r="A1525" s="137"/>
      <c r="B1525" s="157" t="s">
        <v>229</v>
      </c>
      <c r="C1525" s="170"/>
      <c r="D1525" s="166"/>
      <c r="E1525" s="142"/>
      <c r="F1525" s="167"/>
      <c r="G1525" s="158"/>
      <c r="H1525" s="168"/>
    </row>
    <row r="1526" spans="1:8" ht="14.4">
      <c r="A1526" s="137"/>
      <c r="B1526" s="157" t="s">
        <v>230</v>
      </c>
      <c r="C1526" s="173">
        <v>1</v>
      </c>
      <c r="D1526" s="166" t="s">
        <v>223</v>
      </c>
      <c r="E1526" s="142" t="s">
        <v>16</v>
      </c>
      <c r="F1526" s="167">
        <v>250000</v>
      </c>
      <c r="G1526" s="158">
        <f>C1526*F1526</f>
        <v>250000</v>
      </c>
      <c r="H1526" s="168"/>
    </row>
    <row r="1527" spans="1:8" ht="14.4">
      <c r="A1527" s="165"/>
      <c r="B1527" s="157"/>
      <c r="C1527" s="169"/>
      <c r="D1527" s="166"/>
      <c r="E1527" s="142"/>
      <c r="F1527" s="167"/>
      <c r="G1527" s="158"/>
      <c r="H1527" s="168"/>
    </row>
    <row r="1528" spans="1:8" ht="15" thickBot="1">
      <c r="A1528" s="165"/>
      <c r="B1528" s="157"/>
      <c r="C1528" s="169"/>
      <c r="D1528" s="142"/>
      <c r="E1528" s="142"/>
      <c r="F1528" s="167"/>
      <c r="G1528" s="158"/>
      <c r="H1528" s="159"/>
    </row>
    <row r="1529" spans="1:8" ht="14.4">
      <c r="A1529" s="174"/>
      <c r="B1529" s="175"/>
      <c r="C1529" s="176"/>
      <c r="D1529" s="177"/>
      <c r="E1529" s="177"/>
      <c r="F1529" s="177" t="s">
        <v>231</v>
      </c>
      <c r="G1529" s="178">
        <f>SUM(G1490:G1527)</f>
        <v>23332108.770809997</v>
      </c>
      <c r="H1529" s="179">
        <f>SUM(G1529:G1530)</f>
        <v>25665319.647890996</v>
      </c>
    </row>
    <row r="1530" spans="1:8" ht="15" thickBot="1">
      <c r="A1530" s="180"/>
      <c r="B1530" s="181"/>
      <c r="C1530" s="182"/>
      <c r="D1530" s="182"/>
      <c r="E1530" s="183"/>
      <c r="F1530" s="184" t="s">
        <v>26</v>
      </c>
      <c r="G1530" s="185">
        <f>G1529*10%</f>
        <v>2333210.8770809998</v>
      </c>
      <c r="H1530" s="186"/>
    </row>
    <row r="1531" spans="1:8" ht="14.4">
      <c r="A1531" s="187" t="s">
        <v>27</v>
      </c>
      <c r="B1531" s="188"/>
      <c r="C1531" s="188"/>
      <c r="D1531" s="188"/>
      <c r="E1531" s="188"/>
      <c r="F1531" s="189" t="s">
        <v>28</v>
      </c>
      <c r="G1531" s="190"/>
      <c r="H1531" s="179">
        <f>H1489+H1529</f>
        <v>228846919.64789099</v>
      </c>
    </row>
    <row r="1532" spans="1:8" ht="15" thickBot="1">
      <c r="A1532" s="191"/>
      <c r="B1532" s="192" t="s">
        <v>232</v>
      </c>
      <c r="C1532" s="193"/>
      <c r="D1532" s="193"/>
      <c r="E1532" s="193"/>
      <c r="F1532" s="194" t="s">
        <v>30</v>
      </c>
      <c r="G1532" s="195"/>
      <c r="H1532" s="196">
        <f>ROUND(H1531,-2)</f>
        <v>228846900</v>
      </c>
    </row>
    <row r="1533" spans="1:8" ht="14.4">
      <c r="A1533" s="197"/>
      <c r="B1533" s="197"/>
      <c r="C1533" s="197"/>
      <c r="D1533" s="197"/>
      <c r="E1533" s="197"/>
      <c r="F1533" s="197"/>
      <c r="G1533" s="197"/>
      <c r="H1533" s="198"/>
    </row>
    <row r="1534" spans="1:8" ht="14.4">
      <c r="A1534" s="199"/>
      <c r="B1534" s="199"/>
      <c r="C1534" s="199"/>
      <c r="D1534" s="199"/>
      <c r="E1534" s="199"/>
      <c r="F1534" s="199"/>
      <c r="G1534" s="1617" t="s">
        <v>233</v>
      </c>
      <c r="H1534" s="1617"/>
    </row>
    <row r="1535" spans="1:8" ht="14.4">
      <c r="A1535" s="1617" t="s">
        <v>234</v>
      </c>
      <c r="B1535" s="1617"/>
      <c r="C1535" s="1617" t="s">
        <v>32</v>
      </c>
      <c r="D1535" s="1617"/>
      <c r="E1535" s="1617"/>
      <c r="F1535" s="199"/>
      <c r="G1535" s="1617" t="s">
        <v>33</v>
      </c>
      <c r="H1535" s="1617"/>
    </row>
    <row r="1536" spans="1:8" ht="14.4">
      <c r="A1536" s="199"/>
      <c r="B1536" s="199"/>
      <c r="C1536" s="199"/>
      <c r="D1536" s="199"/>
      <c r="E1536" s="199"/>
      <c r="F1536" s="199"/>
      <c r="G1536" s="199"/>
      <c r="H1536" s="199"/>
    </row>
    <row r="1537" spans="1:8" ht="14.4">
      <c r="A1537" s="199"/>
      <c r="B1537" s="199"/>
      <c r="C1537" s="199"/>
      <c r="D1537" s="199"/>
      <c r="E1537" s="199"/>
      <c r="F1537" s="199"/>
      <c r="G1537" s="199"/>
      <c r="H1537" s="199"/>
    </row>
    <row r="1538" spans="1:8" ht="14.4">
      <c r="A1538" s="199"/>
      <c r="B1538" s="199"/>
      <c r="C1538" s="199"/>
      <c r="D1538" s="199"/>
      <c r="E1538" s="199"/>
      <c r="F1538" s="199"/>
      <c r="G1538" s="199"/>
      <c r="H1538" s="199"/>
    </row>
    <row r="1539" spans="1:8" ht="14.4">
      <c r="A1539" s="1618" t="s">
        <v>34</v>
      </c>
      <c r="B1539" s="1618"/>
      <c r="C1539" s="1618" t="s">
        <v>35</v>
      </c>
      <c r="D1539" s="1618"/>
      <c r="E1539" s="1618"/>
      <c r="F1539" s="199"/>
      <c r="G1539" s="1618" t="s">
        <v>36</v>
      </c>
      <c r="H1539" s="1618"/>
    </row>
    <row r="1540" spans="1:8" ht="14.4">
      <c r="A1540" s="1617" t="s">
        <v>37</v>
      </c>
      <c r="B1540" s="1617"/>
      <c r="C1540" s="1617" t="s">
        <v>38</v>
      </c>
      <c r="D1540" s="1617"/>
      <c r="E1540" s="1617"/>
      <c r="F1540" s="199"/>
      <c r="G1540" s="1617" t="s">
        <v>39</v>
      </c>
      <c r="H1540" s="1617"/>
    </row>
    <row r="1541" spans="1:8" ht="12" customHeight="1">
      <c r="A1541" s="5"/>
      <c r="B1541" s="5"/>
      <c r="C1541" s="5"/>
      <c r="D1541" s="5"/>
      <c r="E1541" s="5"/>
      <c r="F1541" s="6"/>
      <c r="G1541" s="5"/>
      <c r="H1541" s="5"/>
    </row>
    <row r="1544" spans="1:8">
      <c r="A1544" s="2"/>
      <c r="B1544" s="2"/>
      <c r="C1544" s="2"/>
      <c r="D1544" s="2"/>
      <c r="E1544" s="2"/>
      <c r="F1544" s="2"/>
      <c r="G1544" s="2"/>
      <c r="H1544" s="2"/>
    </row>
    <row r="1545" spans="1:8">
      <c r="A1545" s="2"/>
      <c r="B1545" s="2"/>
      <c r="C1545" s="2"/>
      <c r="D1545" s="2"/>
      <c r="E1545" s="2"/>
      <c r="F1545" s="2"/>
      <c r="G1545" s="2"/>
      <c r="H1545" s="2"/>
    </row>
    <row r="1546" spans="1:8">
      <c r="A1546" s="2"/>
      <c r="B1546" s="2"/>
      <c r="C1546" s="2"/>
      <c r="D1546" s="2"/>
      <c r="E1546" s="2"/>
      <c r="F1546" s="2"/>
      <c r="G1546" s="2"/>
      <c r="H1546" s="2"/>
    </row>
    <row r="1547" spans="1:8" ht="14.4">
      <c r="A1547" s="1584" t="s">
        <v>235</v>
      </c>
      <c r="B1547" s="1584"/>
      <c r="C1547" s="1584"/>
      <c r="D1547" s="1584"/>
      <c r="E1547" s="1584"/>
      <c r="F1547" s="1584"/>
      <c r="G1547" s="1584"/>
      <c r="H1547" s="1584"/>
    </row>
    <row r="1548" spans="1:8" ht="14.4">
      <c r="A1548" s="1584" t="s">
        <v>236</v>
      </c>
      <c r="B1548" s="1584"/>
      <c r="C1548" s="1584"/>
      <c r="D1548" s="1584"/>
      <c r="E1548" s="1584"/>
      <c r="F1548" s="1584"/>
      <c r="G1548" s="1584"/>
      <c r="H1548" s="1584"/>
    </row>
    <row r="1549" spans="1:8" ht="13.8">
      <c r="A1549" s="1585" t="s">
        <v>237</v>
      </c>
      <c r="B1549" s="1585"/>
      <c r="C1549" s="1585"/>
      <c r="D1549" s="1585"/>
      <c r="E1549" s="1585"/>
      <c r="F1549" s="1585"/>
      <c r="G1549" s="1585"/>
      <c r="H1549" s="1585"/>
    </row>
    <row r="1550" spans="1:8">
      <c r="A1550" s="7"/>
      <c r="B1550" s="7"/>
      <c r="C1550" s="7"/>
      <c r="D1550" s="7"/>
      <c r="E1550" s="7"/>
      <c r="F1550" s="7"/>
      <c r="G1550" s="7"/>
      <c r="H1550" s="7"/>
    </row>
    <row r="1551" spans="1:8" ht="12.6" thickBot="1">
      <c r="A1551" s="7"/>
      <c r="B1551" s="7"/>
      <c r="C1551" s="7"/>
      <c r="D1551" s="7"/>
      <c r="E1551" s="7"/>
      <c r="F1551" s="7"/>
      <c r="G1551" s="7"/>
      <c r="H1551" s="7"/>
    </row>
    <row r="1552" spans="1:8">
      <c r="A1552" s="1586" t="s">
        <v>3</v>
      </c>
      <c r="B1552" s="1588" t="s">
        <v>4</v>
      </c>
      <c r="C1552" s="1588" t="s">
        <v>5</v>
      </c>
      <c r="D1552" s="1588" t="s">
        <v>6</v>
      </c>
      <c r="E1552" s="1588" t="s">
        <v>7</v>
      </c>
      <c r="F1552" s="76" t="s">
        <v>8</v>
      </c>
      <c r="G1552" s="76" t="s">
        <v>9</v>
      </c>
      <c r="H1552" s="77" t="s">
        <v>10</v>
      </c>
    </row>
    <row r="1553" spans="1:8">
      <c r="A1553" s="1587"/>
      <c r="B1553" s="1589"/>
      <c r="C1553" s="1589"/>
      <c r="D1553" s="1589"/>
      <c r="E1553" s="1589"/>
      <c r="F1553" s="78" t="s">
        <v>11</v>
      </c>
      <c r="G1553" s="78" t="s">
        <v>11</v>
      </c>
      <c r="H1553" s="79" t="s">
        <v>11</v>
      </c>
    </row>
    <row r="1554" spans="1:8">
      <c r="A1554" s="200" t="s">
        <v>12</v>
      </c>
      <c r="B1554" s="201" t="s">
        <v>19</v>
      </c>
      <c r="C1554" s="202"/>
      <c r="D1554" s="203"/>
      <c r="E1554" s="203"/>
      <c r="F1554" s="204"/>
      <c r="G1554" s="205"/>
      <c r="H1554" s="206"/>
    </row>
    <row r="1555" spans="1:8">
      <c r="A1555" s="200"/>
      <c r="B1555" s="204" t="s">
        <v>238</v>
      </c>
      <c r="C1555" s="202"/>
      <c r="D1555" s="203"/>
      <c r="E1555" s="203"/>
      <c r="F1555" s="207"/>
      <c r="G1555" s="208"/>
      <c r="H1555" s="209"/>
    </row>
    <row r="1556" spans="1:8">
      <c r="A1556" s="200"/>
      <c r="B1556" s="204" t="s">
        <v>239</v>
      </c>
      <c r="C1556" s="202"/>
      <c r="D1556" s="203"/>
      <c r="E1556" s="203"/>
      <c r="F1556" s="207"/>
      <c r="G1556" s="208"/>
      <c r="H1556" s="209"/>
    </row>
    <row r="1557" spans="1:8">
      <c r="A1557" s="200"/>
      <c r="B1557" s="583" t="s">
        <v>240</v>
      </c>
      <c r="C1557" s="202">
        <v>2</v>
      </c>
      <c r="D1557" s="203" t="s">
        <v>15</v>
      </c>
      <c r="E1557" s="203" t="s">
        <v>16</v>
      </c>
      <c r="F1557" s="207">
        <v>376320</v>
      </c>
      <c r="G1557" s="208">
        <f>C1557*F1557</f>
        <v>752640</v>
      </c>
      <c r="H1557" s="209"/>
    </row>
    <row r="1558" spans="1:8">
      <c r="A1558" s="200"/>
      <c r="B1558" s="583" t="s">
        <v>241</v>
      </c>
      <c r="C1558" s="202">
        <v>2</v>
      </c>
      <c r="D1558" s="203" t="s">
        <v>15</v>
      </c>
      <c r="E1558" s="203" t="s">
        <v>16</v>
      </c>
      <c r="F1558" s="207">
        <v>865140</v>
      </c>
      <c r="G1558" s="208">
        <f>C1558*F1558</f>
        <v>1730280</v>
      </c>
      <c r="H1558" s="209"/>
    </row>
    <row r="1559" spans="1:8">
      <c r="A1559" s="200"/>
      <c r="B1559" s="583" t="s">
        <v>242</v>
      </c>
      <c r="C1559" s="202">
        <v>2</v>
      </c>
      <c r="D1559" s="203" t="s">
        <v>15</v>
      </c>
      <c r="E1559" s="203" t="s">
        <v>16</v>
      </c>
      <c r="F1559" s="207">
        <v>865140</v>
      </c>
      <c r="G1559" s="208">
        <f>C1559*F1559</f>
        <v>1730280</v>
      </c>
      <c r="H1559" s="209"/>
    </row>
    <row r="1560" spans="1:8">
      <c r="A1560" s="210"/>
      <c r="B1560" s="583" t="s">
        <v>243</v>
      </c>
      <c r="C1560" s="211"/>
      <c r="D1560" s="212"/>
      <c r="E1560" s="203"/>
      <c r="F1560" s="213"/>
      <c r="G1560" s="205"/>
      <c r="H1560" s="214"/>
    </row>
    <row r="1561" spans="1:8">
      <c r="A1561" s="210"/>
      <c r="B1561" s="204" t="s">
        <v>244</v>
      </c>
      <c r="C1561" s="106">
        <v>0.78500000000000003</v>
      </c>
      <c r="D1561" s="212" t="s">
        <v>245</v>
      </c>
      <c r="E1561" s="203" t="s">
        <v>82</v>
      </c>
      <c r="F1561" s="213">
        <v>49076.36</v>
      </c>
      <c r="G1561" s="208">
        <f>C1561*F1561</f>
        <v>38524.942600000002</v>
      </c>
      <c r="H1561" s="214"/>
    </row>
    <row r="1562" spans="1:8">
      <c r="A1562" s="200"/>
      <c r="B1562" s="583" t="s">
        <v>246</v>
      </c>
      <c r="C1562" s="211"/>
      <c r="D1562" s="203"/>
      <c r="E1562" s="203"/>
      <c r="F1562" s="213"/>
      <c r="G1562" s="205"/>
      <c r="H1562" s="206"/>
    </row>
    <row r="1563" spans="1:8">
      <c r="A1563" s="200"/>
      <c r="B1563" s="204" t="s">
        <v>244</v>
      </c>
      <c r="C1563" s="106">
        <v>0.78500000000000003</v>
      </c>
      <c r="D1563" s="212" t="s">
        <v>245</v>
      </c>
      <c r="E1563" s="203" t="s">
        <v>82</v>
      </c>
      <c r="F1563" s="213">
        <v>185147.93</v>
      </c>
      <c r="G1563" s="205">
        <f>F1563*C1563</f>
        <v>145341.12505</v>
      </c>
      <c r="H1563" s="214">
        <f>SUM(G1557:G1563)</f>
        <v>4397066.0676499996</v>
      </c>
    </row>
    <row r="1564" spans="1:8">
      <c r="A1564" s="200"/>
      <c r="B1564" s="204"/>
      <c r="C1564" s="106"/>
      <c r="D1564" s="212"/>
      <c r="E1564" s="203"/>
      <c r="F1564" s="213"/>
      <c r="G1564" s="205"/>
      <c r="H1564" s="206"/>
    </row>
    <row r="1565" spans="1:8">
      <c r="A1565" s="200"/>
      <c r="B1565" s="204" t="s">
        <v>247</v>
      </c>
      <c r="C1565" s="106"/>
      <c r="D1565" s="212"/>
      <c r="E1565" s="203"/>
      <c r="F1565" s="213"/>
      <c r="G1565" s="205"/>
      <c r="H1565" s="206"/>
    </row>
    <row r="1566" spans="1:8">
      <c r="A1566" s="200"/>
      <c r="B1566" s="204" t="s">
        <v>248</v>
      </c>
      <c r="C1566" s="106"/>
      <c r="D1566" s="212"/>
      <c r="E1566" s="203"/>
      <c r="F1566" s="213"/>
      <c r="G1566" s="205"/>
      <c r="H1566" s="206"/>
    </row>
    <row r="1567" spans="1:8">
      <c r="A1567" s="200"/>
      <c r="B1567" s="583" t="s">
        <v>249</v>
      </c>
      <c r="C1567" s="215">
        <v>1</v>
      </c>
      <c r="D1567" s="212" t="s">
        <v>15</v>
      </c>
      <c r="E1567" s="203" t="s">
        <v>16</v>
      </c>
      <c r="F1567" s="213">
        <v>1927332</v>
      </c>
      <c r="G1567" s="205">
        <f>F1567*C1567</f>
        <v>1927332</v>
      </c>
      <c r="H1567" s="206"/>
    </row>
    <row r="1568" spans="1:8">
      <c r="A1568" s="200"/>
      <c r="B1568" s="204"/>
      <c r="C1568" s="215"/>
      <c r="D1568" s="212"/>
      <c r="E1568" s="203"/>
      <c r="F1568" s="213"/>
      <c r="G1568" s="205"/>
      <c r="H1568" s="206"/>
    </row>
    <row r="1569" spans="1:8">
      <c r="A1569" s="200"/>
      <c r="B1569" s="204" t="s">
        <v>250</v>
      </c>
      <c r="C1569" s="215">
        <v>1</v>
      </c>
      <c r="D1569" s="212" t="s">
        <v>138</v>
      </c>
      <c r="E1569" s="203" t="s">
        <v>16</v>
      </c>
      <c r="F1569" s="213">
        <v>3500000</v>
      </c>
      <c r="G1569" s="205">
        <f>F1569*C1569</f>
        <v>3500000</v>
      </c>
      <c r="H1569" s="206"/>
    </row>
    <row r="1570" spans="1:8">
      <c r="A1570" s="200"/>
      <c r="B1570" s="204" t="s">
        <v>251</v>
      </c>
      <c r="C1570" s="215"/>
      <c r="D1570" s="212"/>
      <c r="E1570" s="203"/>
      <c r="F1570" s="213"/>
      <c r="G1570" s="205"/>
      <c r="H1570" s="206"/>
    </row>
    <row r="1571" spans="1:8">
      <c r="A1571" s="200"/>
      <c r="B1571" s="204" t="s">
        <v>252</v>
      </c>
      <c r="C1571" s="215"/>
      <c r="D1571" s="212"/>
      <c r="E1571" s="203"/>
      <c r="F1571" s="213"/>
      <c r="G1571" s="205"/>
      <c r="H1571" s="206"/>
    </row>
    <row r="1572" spans="1:8">
      <c r="A1572" s="200"/>
      <c r="B1572" s="204" t="s">
        <v>253</v>
      </c>
      <c r="C1572" s="215"/>
      <c r="D1572" s="212"/>
      <c r="E1572" s="203"/>
      <c r="F1572" s="213"/>
      <c r="G1572" s="205"/>
      <c r="H1572" s="214">
        <f>SUM(G1567:G1569)</f>
        <v>5427332</v>
      </c>
    </row>
    <row r="1573" spans="1:8">
      <c r="A1573" s="200"/>
      <c r="B1573" s="204"/>
      <c r="C1573" s="106"/>
      <c r="D1573" s="212"/>
      <c r="E1573" s="203"/>
      <c r="F1573" s="213"/>
      <c r="G1573" s="205"/>
      <c r="H1573" s="206"/>
    </row>
    <row r="1574" spans="1:8">
      <c r="A1574" s="200"/>
      <c r="B1574" s="204" t="s">
        <v>254</v>
      </c>
      <c r="C1574" s="215">
        <v>1</v>
      </c>
      <c r="D1574" s="212" t="s">
        <v>69</v>
      </c>
      <c r="E1574" s="203" t="s">
        <v>51</v>
      </c>
      <c r="F1574" s="213">
        <v>450000</v>
      </c>
      <c r="G1574" s="205">
        <f>F1574*C1574</f>
        <v>450000</v>
      </c>
      <c r="H1574" s="214">
        <f>SUM(G1574)</f>
        <v>450000</v>
      </c>
    </row>
    <row r="1575" spans="1:8">
      <c r="A1575" s="200"/>
      <c r="B1575" s="204" t="s">
        <v>255</v>
      </c>
      <c r="C1575" s="106"/>
      <c r="D1575" s="212"/>
      <c r="E1575" s="203"/>
      <c r="F1575" s="213"/>
      <c r="G1575" s="205"/>
      <c r="H1575" s="206"/>
    </row>
    <row r="1576" spans="1:8">
      <c r="A1576" s="200"/>
      <c r="B1576" s="204"/>
      <c r="C1576" s="106"/>
      <c r="D1576" s="212"/>
      <c r="E1576" s="203"/>
      <c r="F1576" s="213"/>
      <c r="G1576" s="205"/>
      <c r="H1576" s="206"/>
    </row>
    <row r="1577" spans="1:8">
      <c r="A1577" s="210"/>
      <c r="B1577" s="204"/>
      <c r="C1577" s="211"/>
      <c r="D1577" s="212"/>
      <c r="E1577" s="203"/>
      <c r="F1577" s="213"/>
      <c r="G1577" s="205"/>
      <c r="H1577" s="206"/>
    </row>
    <row r="1578" spans="1:8" ht="12.6" thickBot="1">
      <c r="A1578" s="210"/>
      <c r="B1578" s="204"/>
      <c r="C1578" s="211"/>
      <c r="D1578" s="203"/>
      <c r="E1578" s="203"/>
      <c r="F1578" s="213"/>
      <c r="G1578" s="205"/>
      <c r="H1578" s="206"/>
    </row>
    <row r="1579" spans="1:8">
      <c r="A1579" s="108"/>
      <c r="B1579" s="109"/>
      <c r="C1579" s="110"/>
      <c r="D1579" s="111"/>
      <c r="E1579" s="111"/>
      <c r="F1579" s="111" t="s">
        <v>25</v>
      </c>
      <c r="G1579" s="112">
        <f>SUM(G1555:G1577)</f>
        <v>10274398.06765</v>
      </c>
      <c r="H1579" s="113">
        <f>SUM(G1579:G1580)</f>
        <v>11301837.874414999</v>
      </c>
    </row>
    <row r="1580" spans="1:8" ht="14.4" thickBot="1">
      <c r="A1580" s="114"/>
      <c r="B1580" s="115"/>
      <c r="C1580" s="116"/>
      <c r="D1580" s="116"/>
      <c r="E1580" s="117"/>
      <c r="F1580" s="118" t="s">
        <v>26</v>
      </c>
      <c r="G1580" s="119">
        <f>G1579/10</f>
        <v>1027439.806765</v>
      </c>
      <c r="H1580" s="216"/>
    </row>
    <row r="1581" spans="1:8">
      <c r="A1581" s="121" t="s">
        <v>27</v>
      </c>
      <c r="B1581" s="122"/>
      <c r="C1581" s="122"/>
      <c r="D1581" s="122"/>
      <c r="E1581" s="122"/>
      <c r="F1581" s="217"/>
      <c r="G1581" s="124" t="s">
        <v>28</v>
      </c>
      <c r="H1581" s="113">
        <f>H1579</f>
        <v>11301837.874414999</v>
      </c>
    </row>
    <row r="1582" spans="1:8" ht="12.6" thickBot="1">
      <c r="A1582" s="125"/>
      <c r="B1582" s="127" t="s">
        <v>256</v>
      </c>
      <c r="C1582" s="127"/>
      <c r="D1582" s="127"/>
      <c r="E1582" s="127"/>
      <c r="F1582" s="218"/>
      <c r="G1582" s="129" t="s">
        <v>30</v>
      </c>
      <c r="H1582" s="130">
        <f>ROUND(H1581,-2)</f>
        <v>11301800</v>
      </c>
    </row>
    <row r="1583" spans="1:8">
      <c r="A1583" s="131"/>
      <c r="B1583" s="131"/>
      <c r="C1583" s="131"/>
      <c r="D1583" s="131"/>
      <c r="E1583" s="131"/>
      <c r="F1583" s="131"/>
      <c r="G1583" s="131"/>
      <c r="H1583" s="132"/>
    </row>
    <row r="1584" spans="1:8">
      <c r="A1584" s="131"/>
      <c r="B1584" s="131"/>
      <c r="C1584" s="131"/>
      <c r="D1584" s="131"/>
      <c r="E1584" s="131"/>
      <c r="F1584" s="131"/>
      <c r="G1584" s="131"/>
      <c r="H1584" s="132"/>
    </row>
    <row r="1585" spans="1:8">
      <c r="A1585" s="6"/>
      <c r="B1585" s="6"/>
      <c r="C1585" s="6"/>
      <c r="D1585" s="6"/>
      <c r="E1585" s="6"/>
      <c r="F1585" s="6"/>
      <c r="G1585" s="1591" t="s">
        <v>257</v>
      </c>
      <c r="H1585" s="1591"/>
    </row>
    <row r="1586" spans="1:8">
      <c r="A1586" s="1591" t="s">
        <v>234</v>
      </c>
      <c r="B1586" s="1591"/>
      <c r="C1586" s="1591" t="s">
        <v>32</v>
      </c>
      <c r="D1586" s="1591"/>
      <c r="E1586" s="1591"/>
      <c r="F1586" s="6"/>
      <c r="G1586" s="1591" t="s">
        <v>33</v>
      </c>
      <c r="H1586" s="1591"/>
    </row>
    <row r="1587" spans="1:8">
      <c r="A1587" s="6"/>
      <c r="B1587" s="6"/>
      <c r="C1587" s="6"/>
      <c r="D1587" s="6"/>
      <c r="E1587" s="6"/>
      <c r="F1587" s="6"/>
      <c r="G1587" s="6"/>
      <c r="H1587" s="6"/>
    </row>
    <row r="1588" spans="1:8">
      <c r="A1588" s="6"/>
      <c r="B1588" s="6"/>
      <c r="C1588" s="6"/>
      <c r="D1588" s="6"/>
      <c r="E1588" s="6"/>
      <c r="F1588" s="6"/>
      <c r="G1588" s="6"/>
      <c r="H1588" s="6"/>
    </row>
    <row r="1589" spans="1:8">
      <c r="A1589" s="6"/>
      <c r="B1589" s="6"/>
      <c r="C1589" s="6"/>
      <c r="D1589" s="6"/>
      <c r="E1589" s="6"/>
      <c r="F1589" s="6"/>
      <c r="G1589" s="6"/>
      <c r="H1589" s="6"/>
    </row>
    <row r="1590" spans="1:8">
      <c r="A1590" s="1590" t="s">
        <v>34</v>
      </c>
      <c r="B1590" s="1590"/>
      <c r="C1590" s="1590" t="s">
        <v>35</v>
      </c>
      <c r="D1590" s="1590"/>
      <c r="E1590" s="1590"/>
      <c r="F1590" s="6"/>
      <c r="G1590" s="1590" t="s">
        <v>36</v>
      </c>
      <c r="H1590" s="1590"/>
    </row>
    <row r="1591" spans="1:8">
      <c r="A1591" s="1591" t="s">
        <v>37</v>
      </c>
      <c r="B1591" s="1591"/>
      <c r="C1591" s="1591" t="s">
        <v>38</v>
      </c>
      <c r="D1591" s="1591"/>
      <c r="E1591" s="1591"/>
      <c r="F1591" s="6"/>
      <c r="G1591" s="1591" t="s">
        <v>39</v>
      </c>
      <c r="H1591" s="1591"/>
    </row>
    <row r="1592" spans="1:8">
      <c r="A1592" s="5"/>
      <c r="B1592" s="5"/>
      <c r="C1592" s="5"/>
      <c r="D1592" s="5"/>
      <c r="E1592" s="5"/>
      <c r="F1592" s="6"/>
      <c r="G1592" s="5"/>
      <c r="H1592" s="5"/>
    </row>
    <row r="1593" spans="1:8">
      <c r="A1593" s="5"/>
      <c r="B1593" s="5"/>
      <c r="C1593" s="5"/>
      <c r="D1593" s="5"/>
      <c r="E1593" s="5"/>
      <c r="F1593" s="6"/>
      <c r="G1593" s="5"/>
      <c r="H1593" s="5"/>
    </row>
    <row r="1594" spans="1:8">
      <c r="A1594" s="5"/>
      <c r="B1594" s="5"/>
      <c r="C1594" s="5"/>
      <c r="D1594" s="5"/>
      <c r="E1594" s="5"/>
      <c r="F1594" s="6"/>
      <c r="G1594" s="5"/>
      <c r="H1594" s="5"/>
    </row>
    <row r="1595" spans="1:8">
      <c r="A1595" s="5"/>
      <c r="B1595" s="5"/>
      <c r="C1595" s="5"/>
      <c r="D1595" s="5"/>
      <c r="E1595" s="5"/>
      <c r="F1595" s="6"/>
      <c r="G1595" s="5"/>
      <c r="H1595" s="5"/>
    </row>
    <row r="1596" spans="1:8">
      <c r="A1596" s="5"/>
      <c r="B1596" s="5"/>
      <c r="C1596" s="5"/>
      <c r="D1596" s="5"/>
      <c r="E1596" s="5"/>
      <c r="F1596" s="6"/>
      <c r="G1596" s="5"/>
      <c r="H1596" s="5"/>
    </row>
    <row r="1597" spans="1:8">
      <c r="A1597" s="5"/>
      <c r="B1597" s="5"/>
      <c r="C1597" s="5"/>
      <c r="D1597" s="5"/>
      <c r="E1597" s="5"/>
      <c r="F1597" s="6"/>
      <c r="G1597" s="5"/>
      <c r="H1597" s="5"/>
    </row>
    <row r="1598" spans="1:8">
      <c r="A1598" s="5"/>
      <c r="B1598" s="5"/>
      <c r="C1598" s="5"/>
      <c r="D1598" s="5"/>
      <c r="E1598" s="5"/>
      <c r="F1598" s="6"/>
      <c r="G1598" s="5"/>
      <c r="H1598" s="5"/>
    </row>
    <row r="1599" spans="1:8">
      <c r="A1599" s="2"/>
      <c r="B1599" s="2"/>
      <c r="C1599" s="2"/>
      <c r="D1599" s="2"/>
      <c r="E1599" s="2"/>
      <c r="F1599" s="2"/>
      <c r="G1599" s="2"/>
      <c r="H1599" s="2"/>
    </row>
    <row r="1600" spans="1:8">
      <c r="A1600" s="2"/>
      <c r="B1600" s="2"/>
      <c r="C1600" s="2"/>
      <c r="D1600" s="2"/>
      <c r="E1600" s="2"/>
      <c r="F1600" s="2"/>
      <c r="G1600" s="2"/>
      <c r="H1600" s="2"/>
    </row>
    <row r="1601" spans="1:8" ht="14.4">
      <c r="A1601" s="1584" t="s">
        <v>235</v>
      </c>
      <c r="B1601" s="1584"/>
      <c r="C1601" s="1584"/>
      <c r="D1601" s="1584"/>
      <c r="E1601" s="1584"/>
      <c r="F1601" s="1584"/>
      <c r="G1601" s="1584"/>
      <c r="H1601" s="1584"/>
    </row>
    <row r="1602" spans="1:8" ht="14.4">
      <c r="A1602" s="1584" t="s">
        <v>258</v>
      </c>
      <c r="B1602" s="1584"/>
      <c r="C1602" s="1584"/>
      <c r="D1602" s="1584"/>
      <c r="E1602" s="1584"/>
      <c r="F1602" s="1584"/>
      <c r="G1602" s="1584"/>
      <c r="H1602" s="1584"/>
    </row>
    <row r="1603" spans="1:8" ht="13.8">
      <c r="A1603" s="1585" t="s">
        <v>259</v>
      </c>
      <c r="B1603" s="1585"/>
      <c r="C1603" s="1585"/>
      <c r="D1603" s="1585"/>
      <c r="E1603" s="1585"/>
      <c r="F1603" s="1585"/>
      <c r="G1603" s="1585"/>
      <c r="H1603" s="1585"/>
    </row>
    <row r="1604" spans="1:8">
      <c r="A1604" s="7"/>
      <c r="B1604" s="7"/>
      <c r="C1604" s="7"/>
      <c r="D1604" s="7"/>
      <c r="E1604" s="7"/>
      <c r="F1604" s="7"/>
      <c r="G1604" s="7"/>
      <c r="H1604" s="7"/>
    </row>
    <row r="1605" spans="1:8" ht="12.6" thickBot="1">
      <c r="A1605" s="7"/>
      <c r="B1605" s="7"/>
      <c r="C1605" s="7"/>
      <c r="D1605" s="7"/>
      <c r="E1605" s="7"/>
      <c r="F1605" s="7"/>
      <c r="G1605" s="7"/>
      <c r="H1605" s="7"/>
    </row>
    <row r="1606" spans="1:8">
      <c r="A1606" s="1586" t="s">
        <v>3</v>
      </c>
      <c r="B1606" s="1588" t="s">
        <v>4</v>
      </c>
      <c r="C1606" s="1588" t="s">
        <v>5</v>
      </c>
      <c r="D1606" s="1588" t="s">
        <v>6</v>
      </c>
      <c r="E1606" s="1588" t="s">
        <v>7</v>
      </c>
      <c r="F1606" s="76" t="s">
        <v>8</v>
      </c>
      <c r="G1606" s="76" t="s">
        <v>9</v>
      </c>
      <c r="H1606" s="77" t="s">
        <v>10</v>
      </c>
    </row>
    <row r="1607" spans="1:8">
      <c r="A1607" s="1587"/>
      <c r="B1607" s="1589"/>
      <c r="C1607" s="1589"/>
      <c r="D1607" s="1589"/>
      <c r="E1607" s="1589"/>
      <c r="F1607" s="78" t="s">
        <v>11</v>
      </c>
      <c r="G1607" s="78" t="s">
        <v>11</v>
      </c>
      <c r="H1607" s="79" t="s">
        <v>11</v>
      </c>
    </row>
    <row r="1608" spans="1:8">
      <c r="A1608" s="200" t="s">
        <v>12</v>
      </c>
      <c r="B1608" s="201" t="s">
        <v>13</v>
      </c>
      <c r="C1608" s="202"/>
      <c r="D1608" s="203"/>
      <c r="E1608" s="203"/>
      <c r="F1608" s="204"/>
      <c r="G1608" s="205"/>
      <c r="H1608" s="206"/>
    </row>
    <row r="1609" spans="1:8">
      <c r="A1609" s="200"/>
      <c r="B1609" s="583" t="s">
        <v>20</v>
      </c>
      <c r="C1609" s="202">
        <v>5</v>
      </c>
      <c r="D1609" s="203" t="s">
        <v>21</v>
      </c>
      <c r="E1609" s="203" t="s">
        <v>16</v>
      </c>
      <c r="F1609" s="207">
        <v>63418200</v>
      </c>
      <c r="G1609" s="208">
        <f>F1609*C1609</f>
        <v>317091000</v>
      </c>
      <c r="H1609" s="209"/>
    </row>
    <row r="1610" spans="1:8">
      <c r="A1610" s="200"/>
      <c r="B1610" s="204" t="s">
        <v>260</v>
      </c>
      <c r="C1610" s="202"/>
      <c r="D1610" s="203"/>
      <c r="E1610" s="203"/>
      <c r="F1610" s="207"/>
      <c r="G1610" s="208"/>
      <c r="H1610" s="209"/>
    </row>
    <row r="1611" spans="1:8">
      <c r="A1611" s="200"/>
      <c r="B1611" s="204" t="s">
        <v>23</v>
      </c>
      <c r="C1611" s="202"/>
      <c r="D1611" s="203"/>
      <c r="E1611" s="203"/>
      <c r="F1611" s="207"/>
      <c r="G1611" s="208"/>
      <c r="H1611" s="209"/>
    </row>
    <row r="1612" spans="1:8">
      <c r="A1612" s="200"/>
      <c r="B1612" s="204"/>
      <c r="C1612" s="202"/>
      <c r="D1612" s="203"/>
      <c r="E1612" s="203"/>
      <c r="F1612" s="207"/>
      <c r="G1612" s="208"/>
      <c r="H1612" s="209"/>
    </row>
    <row r="1613" spans="1:8">
      <c r="A1613" s="200"/>
      <c r="B1613" s="583" t="s">
        <v>14</v>
      </c>
      <c r="C1613" s="202">
        <v>1</v>
      </c>
      <c r="D1613" s="203" t="s">
        <v>15</v>
      </c>
      <c r="E1613" s="203" t="s">
        <v>16</v>
      </c>
      <c r="F1613" s="207">
        <v>3130000</v>
      </c>
      <c r="G1613" s="208">
        <f>F1613*C1613</f>
        <v>3130000</v>
      </c>
      <c r="H1613" s="209"/>
    </row>
    <row r="1614" spans="1:8">
      <c r="A1614" s="210"/>
      <c r="B1614" s="204" t="s">
        <v>17</v>
      </c>
      <c r="C1614" s="211"/>
      <c r="D1614" s="212"/>
      <c r="E1614" s="203"/>
      <c r="F1614" s="213"/>
      <c r="G1614" s="205"/>
      <c r="H1614" s="214"/>
    </row>
    <row r="1615" spans="1:8">
      <c r="A1615" s="210"/>
      <c r="B1615" s="204"/>
      <c r="C1615" s="211"/>
      <c r="D1615" s="212"/>
      <c r="E1615" s="203"/>
      <c r="F1615" s="213"/>
      <c r="G1615" s="205"/>
      <c r="H1615" s="214"/>
    </row>
    <row r="1616" spans="1:8">
      <c r="A1616" s="200" t="s">
        <v>18</v>
      </c>
      <c r="B1616" s="201" t="s">
        <v>19</v>
      </c>
      <c r="C1616" s="211"/>
      <c r="D1616" s="203"/>
      <c r="E1616" s="203"/>
      <c r="F1616" s="213"/>
      <c r="G1616" s="205"/>
      <c r="H1616" s="206"/>
    </row>
    <row r="1617" spans="1:8">
      <c r="A1617" s="200"/>
      <c r="B1617" s="583" t="s">
        <v>24</v>
      </c>
      <c r="C1617" s="211">
        <v>5</v>
      </c>
      <c r="D1617" s="203" t="s">
        <v>21</v>
      </c>
      <c r="E1617" s="203" t="s">
        <v>16</v>
      </c>
      <c r="F1617" s="213">
        <v>5000000</v>
      </c>
      <c r="G1617" s="205">
        <f>F1617*C1617</f>
        <v>25000000</v>
      </c>
      <c r="H1617" s="206"/>
    </row>
    <row r="1618" spans="1:8">
      <c r="A1618" s="210"/>
      <c r="B1618" s="204"/>
      <c r="C1618" s="211"/>
      <c r="D1618" s="212"/>
      <c r="E1618" s="203"/>
      <c r="F1618" s="213"/>
      <c r="G1618" s="205"/>
      <c r="H1618" s="206"/>
    </row>
    <row r="1619" spans="1:8" ht="12.6" thickBot="1">
      <c r="A1619" s="210"/>
      <c r="B1619" s="204"/>
      <c r="C1619" s="211"/>
      <c r="D1619" s="203"/>
      <c r="E1619" s="203"/>
      <c r="F1619" s="213"/>
      <c r="G1619" s="205"/>
      <c r="H1619" s="206"/>
    </row>
    <row r="1620" spans="1:8">
      <c r="A1620" s="108"/>
      <c r="B1620" s="109"/>
      <c r="C1620" s="110"/>
      <c r="D1620" s="111"/>
      <c r="E1620" s="111"/>
      <c r="F1620" s="111" t="s">
        <v>25</v>
      </c>
      <c r="G1620" s="112">
        <f>SUM(G1609:G1618)</f>
        <v>345221000</v>
      </c>
      <c r="H1620" s="113">
        <f>SUM(G1620:G1621)</f>
        <v>379743100</v>
      </c>
    </row>
    <row r="1621" spans="1:8" ht="14.4" thickBot="1">
      <c r="A1621" s="114"/>
      <c r="B1621" s="115"/>
      <c r="C1621" s="116"/>
      <c r="D1621" s="116"/>
      <c r="E1621" s="117"/>
      <c r="F1621" s="118" t="s">
        <v>26</v>
      </c>
      <c r="G1621" s="119">
        <f>G1620/10</f>
        <v>34522100</v>
      </c>
      <c r="H1621" s="216"/>
    </row>
    <row r="1622" spans="1:8">
      <c r="A1622" s="121" t="s">
        <v>27</v>
      </c>
      <c r="B1622" s="122"/>
      <c r="C1622" s="122"/>
      <c r="D1622" s="122"/>
      <c r="E1622" s="122"/>
      <c r="F1622" s="217"/>
      <c r="G1622" s="124" t="s">
        <v>28</v>
      </c>
      <c r="H1622" s="113">
        <f>H1620</f>
        <v>379743100</v>
      </c>
    </row>
    <row r="1623" spans="1:8" ht="12.6" thickBot="1">
      <c r="A1623" s="125"/>
      <c r="B1623" s="127" t="s">
        <v>29</v>
      </c>
      <c r="C1623" s="127"/>
      <c r="D1623" s="127"/>
      <c r="E1623" s="127"/>
      <c r="F1623" s="218"/>
      <c r="G1623" s="129" t="s">
        <v>30</v>
      </c>
      <c r="H1623" s="130">
        <f>ROUND(H1622,-2)</f>
        <v>379743100</v>
      </c>
    </row>
    <row r="1624" spans="1:8">
      <c r="A1624" s="131"/>
      <c r="B1624" s="131"/>
      <c r="C1624" s="131"/>
      <c r="D1624" s="131"/>
      <c r="E1624" s="131"/>
      <c r="F1624" s="131"/>
      <c r="G1624" s="131"/>
      <c r="H1624" s="132"/>
    </row>
    <row r="1625" spans="1:8">
      <c r="A1625" s="131"/>
      <c r="B1625" s="131"/>
      <c r="C1625" s="131"/>
      <c r="D1625" s="131"/>
      <c r="E1625" s="131"/>
      <c r="F1625" s="131"/>
      <c r="G1625" s="131"/>
      <c r="H1625" s="132"/>
    </row>
    <row r="1626" spans="1:8">
      <c r="A1626" s="6"/>
      <c r="B1626" s="6"/>
      <c r="C1626" s="6"/>
      <c r="D1626" s="6"/>
      <c r="E1626" s="6"/>
      <c r="F1626" s="6"/>
      <c r="G1626" s="1591" t="s">
        <v>261</v>
      </c>
      <c r="H1626" s="1591"/>
    </row>
    <row r="1627" spans="1:8">
      <c r="A1627" s="1591" t="s">
        <v>234</v>
      </c>
      <c r="B1627" s="1591"/>
      <c r="C1627" s="1591" t="s">
        <v>32</v>
      </c>
      <c r="D1627" s="1591"/>
      <c r="E1627" s="1591"/>
      <c r="F1627" s="6"/>
      <c r="G1627" s="1591" t="s">
        <v>33</v>
      </c>
      <c r="H1627" s="1591"/>
    </row>
    <row r="1628" spans="1:8">
      <c r="A1628" s="6"/>
      <c r="B1628" s="6"/>
      <c r="C1628" s="6"/>
      <c r="D1628" s="6"/>
      <c r="E1628" s="6"/>
      <c r="F1628" s="6"/>
      <c r="G1628" s="6"/>
      <c r="H1628" s="6"/>
    </row>
    <row r="1629" spans="1:8">
      <c r="A1629" s="6"/>
      <c r="B1629" s="6"/>
      <c r="C1629" s="6"/>
      <c r="D1629" s="6"/>
      <c r="E1629" s="6"/>
      <c r="F1629" s="6"/>
      <c r="G1629" s="6"/>
      <c r="H1629" s="6"/>
    </row>
    <row r="1630" spans="1:8">
      <c r="A1630" s="6"/>
      <c r="B1630" s="6"/>
      <c r="C1630" s="6"/>
      <c r="D1630" s="6"/>
      <c r="E1630" s="6"/>
      <c r="F1630" s="6"/>
      <c r="G1630" s="6"/>
      <c r="H1630" s="6"/>
    </row>
    <row r="1631" spans="1:8" ht="15" customHeight="1">
      <c r="A1631" s="1590" t="s">
        <v>34</v>
      </c>
      <c r="B1631" s="1590"/>
      <c r="C1631" s="1590" t="s">
        <v>35</v>
      </c>
      <c r="D1631" s="1590"/>
      <c r="E1631" s="1590"/>
      <c r="F1631" s="6"/>
      <c r="G1631" s="1590" t="s">
        <v>36</v>
      </c>
      <c r="H1631" s="1590"/>
    </row>
    <row r="1632" spans="1:8" ht="15" customHeight="1">
      <c r="A1632" s="1591" t="s">
        <v>37</v>
      </c>
      <c r="B1632" s="1591"/>
      <c r="C1632" s="1591" t="s">
        <v>38</v>
      </c>
      <c r="D1632" s="1591"/>
      <c r="E1632" s="1591"/>
      <c r="F1632" s="6"/>
      <c r="G1632" s="1591" t="s">
        <v>39</v>
      </c>
      <c r="H1632" s="1591"/>
    </row>
    <row r="1633" spans="1:8" ht="15" customHeight="1">
      <c r="A1633" s="5"/>
      <c r="B1633" s="5"/>
      <c r="C1633" s="5"/>
      <c r="D1633" s="5"/>
      <c r="E1633" s="5"/>
      <c r="F1633" s="6"/>
      <c r="G1633" s="5"/>
      <c r="H1633" s="5"/>
    </row>
    <row r="1634" spans="1:8" ht="15" customHeight="1"/>
    <row r="1635" spans="1:8" ht="15" customHeight="1"/>
    <row r="1636" spans="1:8" ht="15" customHeight="1"/>
    <row r="1637" spans="1:8" ht="15" customHeight="1"/>
    <row r="1638" spans="1:8" ht="15" customHeight="1"/>
    <row r="1639" spans="1:8" ht="15" customHeight="1">
      <c r="A1639" s="1535" t="s">
        <v>262</v>
      </c>
      <c r="B1639" s="1535"/>
      <c r="C1639" s="1535"/>
      <c r="D1639" s="1535"/>
      <c r="E1639" s="1535"/>
      <c r="F1639" s="1535"/>
      <c r="G1639" s="1535"/>
      <c r="H1639" s="1535"/>
    </row>
    <row r="1640" spans="1:8" ht="15" customHeight="1">
      <c r="A1640" s="1535" t="s">
        <v>263</v>
      </c>
      <c r="B1640" s="1535"/>
      <c r="C1640" s="1535"/>
      <c r="D1640" s="1535"/>
      <c r="E1640" s="1535"/>
      <c r="F1640" s="1535"/>
      <c r="G1640" s="1535"/>
      <c r="H1640" s="1535"/>
    </row>
    <row r="1641" spans="1:8" ht="15" customHeight="1">
      <c r="A1641" s="1603" t="s">
        <v>264</v>
      </c>
      <c r="B1641" s="1603"/>
      <c r="C1641" s="1603"/>
      <c r="D1641" s="1603"/>
      <c r="E1641" s="1603"/>
      <c r="F1641" s="1603"/>
      <c r="G1641" s="1603"/>
      <c r="H1641" s="1603"/>
    </row>
    <row r="1642" spans="1:8" ht="15" customHeight="1">
      <c r="A1642" s="7"/>
      <c r="B1642" s="7"/>
      <c r="C1642" s="7"/>
      <c r="D1642" s="7"/>
      <c r="E1642" s="7"/>
      <c r="F1642" s="7"/>
      <c r="G1642" s="7"/>
      <c r="H1642" s="7"/>
    </row>
    <row r="1643" spans="1:8" ht="15" customHeight="1" thickBot="1">
      <c r="A1643" s="7"/>
      <c r="B1643" s="7"/>
      <c r="C1643" s="7"/>
      <c r="D1643" s="7"/>
      <c r="E1643" s="7"/>
      <c r="F1643" s="7"/>
      <c r="G1643" s="7"/>
      <c r="H1643" s="7"/>
    </row>
    <row r="1644" spans="1:8" ht="15" customHeight="1">
      <c r="A1644" s="1619" t="s">
        <v>3</v>
      </c>
      <c r="B1644" s="1610" t="s">
        <v>4</v>
      </c>
      <c r="C1644" s="1610" t="s">
        <v>5</v>
      </c>
      <c r="D1644" s="1610" t="s">
        <v>6</v>
      </c>
      <c r="E1644" s="1610" t="s">
        <v>7</v>
      </c>
      <c r="F1644" s="133" t="s">
        <v>8</v>
      </c>
      <c r="G1644" s="133" t="s">
        <v>9</v>
      </c>
      <c r="H1644" s="134" t="s">
        <v>10</v>
      </c>
    </row>
    <row r="1645" spans="1:8" ht="15" customHeight="1">
      <c r="A1645" s="1620"/>
      <c r="B1645" s="1611"/>
      <c r="C1645" s="1611"/>
      <c r="D1645" s="1611"/>
      <c r="E1645" s="1611"/>
      <c r="F1645" s="135" t="s">
        <v>11</v>
      </c>
      <c r="G1645" s="135" t="s">
        <v>11</v>
      </c>
      <c r="H1645" s="136" t="s">
        <v>11</v>
      </c>
    </row>
    <row r="1646" spans="1:8" ht="15" customHeight="1">
      <c r="A1646" s="219" t="s">
        <v>265</v>
      </c>
      <c r="B1646" s="220" t="s">
        <v>19</v>
      </c>
      <c r="C1646" s="221"/>
      <c r="D1646" s="222"/>
      <c r="E1646" s="222"/>
      <c r="F1646" s="223"/>
      <c r="G1646" s="224"/>
      <c r="H1646" s="225"/>
    </row>
    <row r="1647" spans="1:8" ht="15" customHeight="1">
      <c r="A1647" s="219"/>
      <c r="B1647" s="226" t="s">
        <v>266</v>
      </c>
      <c r="C1647" s="221"/>
      <c r="D1647" s="222"/>
      <c r="E1647" s="222"/>
      <c r="F1647" s="223"/>
      <c r="G1647" s="224"/>
      <c r="H1647" s="225"/>
    </row>
    <row r="1648" spans="1:8" ht="15" customHeight="1">
      <c r="A1648" s="227"/>
      <c r="B1648" s="226" t="s">
        <v>267</v>
      </c>
      <c r="C1648" s="221">
        <v>460</v>
      </c>
      <c r="D1648" s="228" t="s">
        <v>268</v>
      </c>
      <c r="E1648" s="222" t="s">
        <v>269</v>
      </c>
      <c r="F1648" s="223">
        <v>8045</v>
      </c>
      <c r="G1648" s="224">
        <f>F1648*C1648</f>
        <v>3700700</v>
      </c>
      <c r="H1648" s="225"/>
    </row>
    <row r="1649" spans="1:12" ht="15" customHeight="1">
      <c r="A1649" s="227"/>
      <c r="B1649" s="226" t="s">
        <v>270</v>
      </c>
      <c r="C1649" s="221"/>
      <c r="D1649" s="228"/>
      <c r="E1649" s="222"/>
      <c r="F1649" s="223"/>
      <c r="G1649" s="224"/>
      <c r="H1649" s="225"/>
    </row>
    <row r="1650" spans="1:12" ht="15" customHeight="1">
      <c r="A1650" s="227"/>
      <c r="B1650" s="226" t="s">
        <v>271</v>
      </c>
      <c r="C1650" s="221">
        <v>175</v>
      </c>
      <c r="D1650" s="228" t="s">
        <v>268</v>
      </c>
      <c r="E1650" s="222" t="s">
        <v>269</v>
      </c>
      <c r="F1650" s="223">
        <v>8045.4</v>
      </c>
      <c r="G1650" s="224">
        <f>F1650*C1650</f>
        <v>1407945</v>
      </c>
      <c r="H1650" s="225"/>
    </row>
    <row r="1651" spans="1:12" ht="15" customHeight="1">
      <c r="A1651" s="227"/>
      <c r="B1651" s="226" t="s">
        <v>272</v>
      </c>
      <c r="C1651" s="221"/>
      <c r="D1651" s="228"/>
      <c r="E1651" s="222"/>
      <c r="F1651" s="223"/>
      <c r="G1651" s="224"/>
      <c r="H1651" s="225"/>
    </row>
    <row r="1652" spans="1:12" ht="15" customHeight="1">
      <c r="A1652" s="227"/>
      <c r="B1652" s="226" t="s">
        <v>273</v>
      </c>
      <c r="C1652" s="221">
        <v>460</v>
      </c>
      <c r="D1652" s="228" t="s">
        <v>268</v>
      </c>
      <c r="E1652" s="222" t="s">
        <v>16</v>
      </c>
      <c r="F1652" s="223">
        <v>49033.13</v>
      </c>
      <c r="G1652" s="224">
        <f>F1652*C1652</f>
        <v>22555239.799999997</v>
      </c>
      <c r="H1652" s="225"/>
    </row>
    <row r="1653" spans="1:12" ht="15" customHeight="1">
      <c r="A1653" s="227"/>
      <c r="B1653" s="226" t="s">
        <v>274</v>
      </c>
      <c r="C1653" s="221"/>
      <c r="D1653" s="228"/>
      <c r="E1653" s="222"/>
      <c r="F1653" s="223"/>
      <c r="G1653" s="224"/>
      <c r="H1653" s="225"/>
    </row>
    <row r="1654" spans="1:12" ht="14.4">
      <c r="A1654" s="227"/>
      <c r="B1654" s="226" t="s">
        <v>275</v>
      </c>
      <c r="C1654" s="221">
        <v>175</v>
      </c>
      <c r="D1654" s="228" t="s">
        <v>268</v>
      </c>
      <c r="E1654" s="222" t="s">
        <v>16</v>
      </c>
      <c r="F1654" s="223">
        <v>40949.629999999997</v>
      </c>
      <c r="G1654" s="224">
        <f>F1654*C1654</f>
        <v>7166185.25</v>
      </c>
      <c r="H1654" s="229"/>
    </row>
    <row r="1655" spans="1:12" ht="14.4">
      <c r="A1655" s="227"/>
      <c r="B1655" s="226" t="s">
        <v>276</v>
      </c>
      <c r="C1655" s="221"/>
      <c r="D1655" s="228"/>
      <c r="E1655" s="222"/>
      <c r="F1655" s="223"/>
      <c r="G1655" s="224"/>
      <c r="H1655" s="229"/>
    </row>
    <row r="1656" spans="1:12" ht="14.4">
      <c r="A1656" s="227"/>
      <c r="B1656" s="226"/>
      <c r="C1656" s="221"/>
      <c r="D1656" s="228"/>
      <c r="E1656" s="222"/>
      <c r="F1656" s="223"/>
      <c r="G1656" s="224"/>
      <c r="H1656" s="229"/>
    </row>
    <row r="1657" spans="1:12" ht="14.4">
      <c r="A1657" s="227"/>
      <c r="B1657" s="226" t="s">
        <v>277</v>
      </c>
      <c r="C1657" s="221">
        <v>1</v>
      </c>
      <c r="D1657" s="228" t="s">
        <v>69</v>
      </c>
      <c r="E1657" s="222" t="s">
        <v>51</v>
      </c>
      <c r="F1657" s="223">
        <v>4500000</v>
      </c>
      <c r="G1657" s="224">
        <f>F1657*C1657</f>
        <v>4500000</v>
      </c>
      <c r="H1657" s="225"/>
    </row>
    <row r="1658" spans="1:12" ht="14.4">
      <c r="A1658" s="227"/>
      <c r="B1658" s="226" t="s">
        <v>278</v>
      </c>
      <c r="C1658" s="221"/>
      <c r="D1658" s="228"/>
      <c r="E1658" s="222"/>
      <c r="F1658" s="223"/>
      <c r="G1658" s="224"/>
      <c r="H1658" s="225"/>
    </row>
    <row r="1659" spans="1:12" ht="14.4">
      <c r="A1659" s="227"/>
      <c r="B1659" s="226" t="s">
        <v>279</v>
      </c>
      <c r="C1659" s="230"/>
      <c r="D1659" s="228"/>
      <c r="E1659" s="222"/>
      <c r="F1659" s="223"/>
      <c r="G1659" s="224"/>
      <c r="H1659" s="225"/>
    </row>
    <row r="1660" spans="1:12" ht="14.4">
      <c r="A1660" s="227"/>
      <c r="B1660" s="226" t="s">
        <v>280</v>
      </c>
      <c r="C1660" s="221">
        <v>1</v>
      </c>
      <c r="D1660" s="228" t="s">
        <v>69</v>
      </c>
      <c r="E1660" s="222" t="s">
        <v>51</v>
      </c>
      <c r="F1660" s="223">
        <v>500000</v>
      </c>
      <c r="G1660" s="224">
        <f>F1660*C1660</f>
        <v>500000</v>
      </c>
      <c r="H1660" s="225"/>
    </row>
    <row r="1661" spans="1:12" ht="14.4">
      <c r="A1661" s="227"/>
      <c r="B1661" s="226" t="s">
        <v>281</v>
      </c>
      <c r="C1661" s="221">
        <v>8</v>
      </c>
      <c r="D1661" s="222" t="s">
        <v>282</v>
      </c>
      <c r="E1661" s="222" t="s">
        <v>51</v>
      </c>
      <c r="F1661" s="223">
        <v>175000</v>
      </c>
      <c r="G1661" s="224">
        <f>F1661*C1661</f>
        <v>1400000</v>
      </c>
      <c r="H1661" s="229"/>
    </row>
    <row r="1662" spans="1:12" ht="14.4">
      <c r="A1662" s="231"/>
      <c r="B1662" s="232"/>
      <c r="C1662" s="233"/>
      <c r="D1662" s="234"/>
      <c r="E1662" s="234"/>
      <c r="F1662" s="234" t="s">
        <v>25</v>
      </c>
      <c r="G1662" s="235">
        <f>SUM(G1648:G1661)</f>
        <v>41230070.049999997</v>
      </c>
      <c r="H1662" s="236"/>
    </row>
    <row r="1663" spans="1:12" ht="14.4">
      <c r="A1663" s="180"/>
      <c r="B1663" s="181"/>
      <c r="C1663" s="182"/>
      <c r="D1663" s="182"/>
      <c r="E1663" s="183"/>
      <c r="F1663" s="184" t="s">
        <v>26</v>
      </c>
      <c r="G1663" s="185">
        <f>G1662/10</f>
        <v>4123007.0049999999</v>
      </c>
      <c r="H1663" s="186">
        <f>SUM(G1662:G1663)</f>
        <v>45353077.055</v>
      </c>
    </row>
    <row r="1664" spans="1:12" s="3" customFormat="1" ht="15" thickBot="1">
      <c r="A1664" s="180"/>
      <c r="B1664" s="181"/>
      <c r="C1664" s="182"/>
      <c r="D1664" s="182"/>
      <c r="E1664" s="183"/>
      <c r="F1664" s="184"/>
      <c r="G1664" s="185"/>
      <c r="H1664" s="237"/>
      <c r="L1664" s="1"/>
    </row>
    <row r="1665" spans="1:14" s="3" customFormat="1" ht="15" customHeight="1">
      <c r="A1665" s="187" t="s">
        <v>27</v>
      </c>
      <c r="B1665" s="188"/>
      <c r="C1665" s="188"/>
      <c r="D1665" s="188"/>
      <c r="E1665" s="188"/>
      <c r="F1665" s="238"/>
      <c r="G1665" s="190" t="s">
        <v>28</v>
      </c>
      <c r="H1665" s="179">
        <f>H1663</f>
        <v>45353077.055</v>
      </c>
      <c r="J1665" s="363"/>
      <c r="K1665" s="363"/>
      <c r="L1665" s="364"/>
      <c r="M1665" s="363"/>
    </row>
    <row r="1666" spans="1:14" s="3" customFormat="1" ht="15" customHeight="1" thickBot="1">
      <c r="A1666" s="191"/>
      <c r="B1666" s="192" t="s">
        <v>283</v>
      </c>
      <c r="C1666" s="193"/>
      <c r="D1666" s="193"/>
      <c r="E1666" s="193"/>
      <c r="F1666" s="239"/>
      <c r="G1666" s="195" t="s">
        <v>30</v>
      </c>
      <c r="H1666" s="196">
        <f>ROUND(H1665,-2)</f>
        <v>45353100</v>
      </c>
      <c r="J1666" s="365"/>
      <c r="K1666" s="365"/>
      <c r="L1666" s="366"/>
      <c r="M1666" s="365"/>
    </row>
    <row r="1667" spans="1:14" s="3" customFormat="1" ht="15" customHeight="1">
      <c r="A1667" s="197"/>
      <c r="B1667" s="197"/>
      <c r="C1667" s="197"/>
      <c r="D1667" s="197"/>
      <c r="E1667" s="197"/>
      <c r="F1667" s="197"/>
      <c r="G1667" s="197"/>
      <c r="H1667" s="198"/>
      <c r="L1667" s="1"/>
    </row>
    <row r="1668" spans="1:14" s="3" customFormat="1" ht="15" customHeight="1">
      <c r="A1668" s="197"/>
      <c r="B1668" s="197"/>
      <c r="C1668" s="197"/>
      <c r="D1668" s="197"/>
      <c r="E1668" s="197"/>
      <c r="F1668" s="197"/>
      <c r="G1668" s="197"/>
      <c r="H1668" s="198"/>
      <c r="L1668" s="367"/>
    </row>
    <row r="1669" spans="1:14" s="3" customFormat="1" ht="15" customHeight="1">
      <c r="A1669" s="199"/>
      <c r="B1669" s="199"/>
      <c r="C1669" s="199"/>
      <c r="D1669" s="199"/>
      <c r="E1669" s="199"/>
      <c r="F1669" s="199"/>
      <c r="G1669" s="1617" t="s">
        <v>284</v>
      </c>
      <c r="H1669" s="1617"/>
      <c r="J1669" s="368"/>
      <c r="K1669" s="369"/>
      <c r="L1669" s="1"/>
      <c r="M1669" s="370"/>
    </row>
    <row r="1670" spans="1:14" s="3" customFormat="1" ht="15" customHeight="1">
      <c r="A1670" s="1617" t="s">
        <v>234</v>
      </c>
      <c r="B1670" s="1617"/>
      <c r="C1670" s="1617" t="s">
        <v>32</v>
      </c>
      <c r="D1670" s="1617"/>
      <c r="E1670" s="1617"/>
      <c r="F1670" s="199"/>
      <c r="G1670" s="1617" t="s">
        <v>33</v>
      </c>
      <c r="H1670" s="1617"/>
      <c r="J1670" s="368"/>
      <c r="K1670" s="369"/>
      <c r="L1670" s="1"/>
      <c r="M1670" s="370"/>
    </row>
    <row r="1671" spans="1:14" s="3" customFormat="1" ht="15" customHeight="1">
      <c r="A1671" s="199"/>
      <c r="B1671" s="199"/>
      <c r="C1671" s="199"/>
      <c r="D1671" s="199"/>
      <c r="E1671" s="199"/>
      <c r="F1671" s="199"/>
      <c r="G1671" s="199"/>
      <c r="H1671" s="199"/>
      <c r="J1671" s="368"/>
      <c r="K1671" s="369"/>
      <c r="L1671" s="1"/>
      <c r="M1671" s="370"/>
    </row>
    <row r="1672" spans="1:14" s="3" customFormat="1" ht="15" customHeight="1">
      <c r="A1672" s="199"/>
      <c r="B1672" s="199"/>
      <c r="C1672" s="199"/>
      <c r="D1672" s="199"/>
      <c r="E1672" s="199"/>
      <c r="F1672" s="199"/>
      <c r="G1672" s="199"/>
      <c r="H1672" s="199"/>
      <c r="J1672" s="368"/>
      <c r="K1672" s="369"/>
      <c r="L1672" s="1"/>
      <c r="M1672" s="370"/>
    </row>
    <row r="1673" spans="1:14" s="3" customFormat="1" ht="15" customHeight="1">
      <c r="A1673" s="199"/>
      <c r="B1673" s="199"/>
      <c r="C1673" s="199"/>
      <c r="D1673" s="199"/>
      <c r="E1673" s="199"/>
      <c r="F1673" s="199"/>
      <c r="G1673" s="199"/>
      <c r="H1673" s="199"/>
      <c r="J1673" s="368"/>
      <c r="K1673" s="369"/>
      <c r="L1673" s="1"/>
      <c r="M1673" s="370"/>
    </row>
    <row r="1674" spans="1:14" s="3" customFormat="1" ht="15" customHeight="1">
      <c r="A1674" s="1618" t="s">
        <v>34</v>
      </c>
      <c r="B1674" s="1618"/>
      <c r="C1674" s="1618" t="s">
        <v>35</v>
      </c>
      <c r="D1674" s="1618"/>
      <c r="E1674" s="1618"/>
      <c r="F1674" s="199"/>
      <c r="G1674" s="1618" t="s">
        <v>36</v>
      </c>
      <c r="H1674" s="1618"/>
      <c r="J1674" s="368"/>
      <c r="K1674" s="369"/>
      <c r="L1674" s="1"/>
      <c r="M1674" s="370"/>
    </row>
    <row r="1675" spans="1:14" s="3" customFormat="1" ht="15" customHeight="1">
      <c r="A1675" s="1617" t="s">
        <v>37</v>
      </c>
      <c r="B1675" s="1617"/>
      <c r="C1675" s="1617" t="s">
        <v>38</v>
      </c>
      <c r="D1675" s="1617"/>
      <c r="E1675" s="1617"/>
      <c r="F1675" s="199"/>
      <c r="G1675" s="1617" t="s">
        <v>39</v>
      </c>
      <c r="H1675" s="1617"/>
      <c r="J1675" s="368"/>
      <c r="K1675" s="369"/>
      <c r="L1675" s="1"/>
      <c r="M1675" s="370"/>
    </row>
    <row r="1676" spans="1:14" s="3" customFormat="1" ht="15" customHeight="1">
      <c r="A1676" s="5"/>
      <c r="B1676" s="5"/>
      <c r="C1676" s="5"/>
      <c r="D1676" s="5"/>
      <c r="E1676" s="5"/>
      <c r="F1676" s="6"/>
      <c r="G1676" s="5"/>
      <c r="H1676" s="5"/>
      <c r="J1676" s="368"/>
      <c r="K1676" s="369"/>
      <c r="L1676" s="1"/>
      <c r="M1676" s="379"/>
    </row>
    <row r="1677" spans="1:14" s="3" customFormat="1" ht="15" customHeight="1">
      <c r="A1677" s="1"/>
      <c r="B1677" s="1"/>
      <c r="C1677" s="1"/>
      <c r="D1677" s="1"/>
      <c r="E1677" s="1"/>
      <c r="F1677" s="1"/>
      <c r="G1677" s="1"/>
      <c r="H1677" s="1"/>
      <c r="J1677" s="368"/>
      <c r="K1677" s="369"/>
      <c r="L1677" s="1"/>
    </row>
    <row r="1678" spans="1:14" s="3" customFormat="1" ht="15" customHeight="1">
      <c r="A1678" s="1"/>
      <c r="B1678" s="1"/>
      <c r="C1678" s="1"/>
      <c r="D1678" s="1"/>
      <c r="E1678" s="1"/>
      <c r="F1678" s="1"/>
      <c r="G1678" s="1"/>
      <c r="H1678" s="1"/>
      <c r="J1678" s="368"/>
      <c r="K1678" s="369"/>
      <c r="L1678" s="1"/>
    </row>
    <row r="1679" spans="1:14" s="3" customFormat="1" ht="15" customHeight="1">
      <c r="A1679" s="1"/>
      <c r="B1679" s="1"/>
      <c r="C1679" s="1"/>
      <c r="D1679" s="1"/>
      <c r="E1679" s="1"/>
      <c r="F1679" s="1"/>
      <c r="G1679" s="1"/>
      <c r="H1679" s="1"/>
      <c r="J1679" s="368"/>
      <c r="K1679" s="369"/>
      <c r="L1679" s="1"/>
      <c r="M1679" s="1"/>
      <c r="N1679" s="363"/>
    </row>
    <row r="1680" spans="1:14" s="3" customFormat="1" ht="15" customHeight="1">
      <c r="A1680" s="1584" t="s">
        <v>235</v>
      </c>
      <c r="B1680" s="1584"/>
      <c r="C1680" s="1584"/>
      <c r="D1680" s="1584"/>
      <c r="E1680" s="1584"/>
      <c r="F1680" s="1584"/>
      <c r="G1680" s="1584"/>
      <c r="H1680" s="1584"/>
      <c r="J1680" s="368"/>
      <c r="K1680" s="369"/>
      <c r="L1680" s="1"/>
      <c r="M1680" s="1"/>
    </row>
    <row r="1681" spans="1:13" s="3" customFormat="1" ht="15" customHeight="1">
      <c r="A1681" s="1584" t="s">
        <v>285</v>
      </c>
      <c r="B1681" s="1584"/>
      <c r="C1681" s="1584"/>
      <c r="D1681" s="1584"/>
      <c r="E1681" s="1584"/>
      <c r="F1681" s="1584"/>
      <c r="G1681" s="1584"/>
      <c r="H1681" s="1584"/>
      <c r="J1681" s="368"/>
      <c r="K1681" s="369"/>
      <c r="L1681" s="1"/>
      <c r="M1681" s="1"/>
    </row>
    <row r="1682" spans="1:13" s="3" customFormat="1" ht="15" customHeight="1">
      <c r="A1682" s="1585" t="s">
        <v>286</v>
      </c>
      <c r="B1682" s="1585"/>
      <c r="C1682" s="1585"/>
      <c r="D1682" s="1585"/>
      <c r="E1682" s="1585"/>
      <c r="F1682" s="1585"/>
      <c r="G1682" s="1585"/>
      <c r="H1682" s="1585"/>
      <c r="J1682" s="368"/>
      <c r="K1682" s="369"/>
      <c r="L1682" s="1"/>
      <c r="M1682" s="1"/>
    </row>
    <row r="1683" spans="1:13" s="3" customFormat="1" ht="15" customHeight="1">
      <c r="A1683" s="7"/>
      <c r="B1683" s="7"/>
      <c r="C1683" s="7"/>
      <c r="D1683" s="7"/>
      <c r="E1683" s="7"/>
      <c r="F1683" s="7"/>
      <c r="G1683" s="7"/>
      <c r="H1683" s="7"/>
      <c r="J1683" s="368"/>
      <c r="K1683" s="369"/>
      <c r="L1683" s="1"/>
      <c r="M1683" s="1"/>
    </row>
    <row r="1684" spans="1:13" s="3" customFormat="1" ht="15" customHeight="1" thickBot="1">
      <c r="A1684" s="7"/>
      <c r="B1684" s="7"/>
      <c r="C1684" s="7"/>
      <c r="D1684" s="7"/>
      <c r="E1684" s="7"/>
      <c r="F1684" s="7"/>
      <c r="G1684" s="7"/>
      <c r="H1684" s="7"/>
      <c r="J1684" s="368"/>
      <c r="K1684" s="369"/>
      <c r="L1684" s="1"/>
      <c r="M1684" s="1"/>
    </row>
    <row r="1685" spans="1:13" s="3" customFormat="1" ht="15" customHeight="1">
      <c r="A1685" s="1586" t="s">
        <v>3</v>
      </c>
      <c r="B1685" s="1588" t="s">
        <v>4</v>
      </c>
      <c r="C1685" s="1588" t="s">
        <v>5</v>
      </c>
      <c r="D1685" s="1588" t="s">
        <v>6</v>
      </c>
      <c r="E1685" s="1588" t="s">
        <v>7</v>
      </c>
      <c r="F1685" s="76" t="s">
        <v>8</v>
      </c>
      <c r="G1685" s="76" t="s">
        <v>9</v>
      </c>
      <c r="H1685" s="77" t="s">
        <v>10</v>
      </c>
      <c r="J1685" s="368"/>
      <c r="K1685" s="369"/>
      <c r="L1685" s="1"/>
      <c r="M1685" s="1"/>
    </row>
    <row r="1686" spans="1:13" s="3" customFormat="1" ht="15" customHeight="1">
      <c r="A1686" s="1587"/>
      <c r="B1686" s="1589"/>
      <c r="C1686" s="1589"/>
      <c r="D1686" s="1589"/>
      <c r="E1686" s="1589"/>
      <c r="F1686" s="78" t="s">
        <v>11</v>
      </c>
      <c r="G1686" s="78" t="s">
        <v>11</v>
      </c>
      <c r="H1686" s="79" t="s">
        <v>11</v>
      </c>
      <c r="J1686" s="368"/>
      <c r="K1686" s="369"/>
      <c r="L1686" s="1"/>
      <c r="M1686" s="1"/>
    </row>
    <row r="1687" spans="1:13" s="3" customFormat="1" ht="15" customHeight="1">
      <c r="A1687" s="200" t="s">
        <v>12</v>
      </c>
      <c r="B1687" s="201" t="s">
        <v>13</v>
      </c>
      <c r="C1687" s="202"/>
      <c r="D1687" s="203"/>
      <c r="E1687" s="203"/>
      <c r="F1687" s="204"/>
      <c r="G1687" s="205"/>
      <c r="H1687" s="206"/>
      <c r="J1687" s="368"/>
      <c r="K1687" s="369"/>
      <c r="L1687" s="1"/>
      <c r="M1687" s="1"/>
    </row>
    <row r="1688" spans="1:13" s="3" customFormat="1" ht="15" customHeight="1">
      <c r="A1688" s="210"/>
      <c r="B1688" s="204" t="s">
        <v>287</v>
      </c>
      <c r="C1688" s="211">
        <v>6.4</v>
      </c>
      <c r="D1688" s="212" t="s">
        <v>288</v>
      </c>
      <c r="E1688" s="203" t="s">
        <v>106</v>
      </c>
      <c r="F1688" s="213">
        <v>103981.2</v>
      </c>
      <c r="G1688" s="205">
        <f>F1688*C1688</f>
        <v>665479.68000000005</v>
      </c>
      <c r="H1688" s="214"/>
      <c r="J1688" s="368"/>
      <c r="K1688" s="369"/>
      <c r="L1688" s="1"/>
      <c r="M1688" s="1"/>
    </row>
    <row r="1689" spans="1:13" s="3" customFormat="1" ht="15" customHeight="1">
      <c r="A1689" s="210"/>
      <c r="B1689" s="204" t="s">
        <v>289</v>
      </c>
      <c r="C1689" s="211">
        <v>1</v>
      </c>
      <c r="D1689" s="212" t="s">
        <v>21</v>
      </c>
      <c r="E1689" s="203" t="s">
        <v>51</v>
      </c>
      <c r="F1689" s="213">
        <v>1500000</v>
      </c>
      <c r="G1689" s="205">
        <f>F1689*C1689</f>
        <v>1500000</v>
      </c>
      <c r="H1689" s="214">
        <f>SUM(G1688:G1689)</f>
        <v>2165479.6800000002</v>
      </c>
      <c r="J1689" s="368"/>
      <c r="K1689" s="369"/>
      <c r="L1689" s="1"/>
      <c r="M1689" s="1"/>
    </row>
    <row r="1690" spans="1:13" s="3" customFormat="1" ht="15" customHeight="1">
      <c r="A1690" s="210"/>
      <c r="B1690" s="204"/>
      <c r="C1690" s="211"/>
      <c r="D1690" s="203"/>
      <c r="E1690" s="203"/>
      <c r="F1690" s="213"/>
      <c r="G1690" s="205"/>
      <c r="H1690" s="206"/>
      <c r="J1690" s="368"/>
      <c r="K1690" s="369"/>
      <c r="L1690" s="1"/>
      <c r="M1690" s="1"/>
    </row>
    <row r="1691" spans="1:13" s="3" customFormat="1" ht="15" customHeight="1">
      <c r="A1691" s="200" t="s">
        <v>18</v>
      </c>
      <c r="B1691" s="201" t="s">
        <v>19</v>
      </c>
      <c r="C1691" s="211"/>
      <c r="D1691" s="203"/>
      <c r="E1691" s="203"/>
      <c r="F1691" s="213"/>
      <c r="G1691" s="205"/>
      <c r="H1691" s="206"/>
      <c r="J1691" s="368"/>
      <c r="K1691" s="369"/>
      <c r="L1691" s="1"/>
      <c r="M1691" s="1"/>
    </row>
    <row r="1692" spans="1:13" s="3" customFormat="1" ht="15" customHeight="1">
      <c r="A1692" s="210"/>
      <c r="B1692" s="204" t="s">
        <v>290</v>
      </c>
      <c r="C1692" s="211">
        <v>6.4</v>
      </c>
      <c r="D1692" s="212" t="s">
        <v>288</v>
      </c>
      <c r="E1692" s="203" t="s">
        <v>51</v>
      </c>
      <c r="F1692" s="213">
        <v>100000</v>
      </c>
      <c r="G1692" s="205">
        <f>F1692*C1692</f>
        <v>640000</v>
      </c>
      <c r="H1692" s="206"/>
      <c r="J1692" s="368"/>
      <c r="K1692" s="369"/>
      <c r="L1692" s="1"/>
      <c r="M1692" s="1"/>
    </row>
    <row r="1693" spans="1:13" s="3" customFormat="1" ht="15" customHeight="1">
      <c r="A1693" s="210"/>
      <c r="B1693" s="204" t="s">
        <v>291</v>
      </c>
      <c r="C1693" s="211"/>
      <c r="D1693" s="212"/>
      <c r="E1693" s="203"/>
      <c r="F1693" s="213"/>
      <c r="G1693" s="205"/>
      <c r="H1693" s="206"/>
      <c r="J1693" s="368"/>
      <c r="K1693" s="369"/>
      <c r="L1693" s="1"/>
      <c r="M1693" s="1"/>
    </row>
    <row r="1694" spans="1:13" s="3" customFormat="1" ht="15" customHeight="1">
      <c r="A1694" s="210"/>
      <c r="B1694" s="204" t="s">
        <v>292</v>
      </c>
      <c r="C1694" s="211">
        <v>3.2749999999999999</v>
      </c>
      <c r="D1694" s="212" t="s">
        <v>288</v>
      </c>
      <c r="E1694" s="203" t="s">
        <v>293</v>
      </c>
      <c r="F1694" s="213">
        <v>584011.14</v>
      </c>
      <c r="G1694" s="205">
        <f>F1694*C1694</f>
        <v>1912636.4835000001</v>
      </c>
      <c r="H1694" s="206"/>
      <c r="J1694" s="368"/>
      <c r="K1694" s="369"/>
      <c r="L1694" s="1"/>
      <c r="M1694" s="1"/>
    </row>
    <row r="1695" spans="1:13" s="3" customFormat="1" ht="15" customHeight="1">
      <c r="A1695" s="210"/>
      <c r="B1695" s="204" t="s">
        <v>294</v>
      </c>
      <c r="C1695" s="211"/>
      <c r="D1695" s="212"/>
      <c r="E1695" s="203"/>
      <c r="F1695" s="213"/>
      <c r="G1695" s="205"/>
      <c r="H1695" s="206"/>
      <c r="J1695" s="368"/>
      <c r="K1695" s="369"/>
      <c r="L1695" s="1"/>
      <c r="M1695" s="1"/>
    </row>
    <row r="1696" spans="1:13" s="3" customFormat="1" ht="15" customHeight="1">
      <c r="A1696" s="210"/>
      <c r="B1696" s="204" t="s">
        <v>295</v>
      </c>
      <c r="C1696" s="211">
        <v>30</v>
      </c>
      <c r="D1696" s="212" t="s">
        <v>296</v>
      </c>
      <c r="E1696" s="203" t="s">
        <v>297</v>
      </c>
      <c r="F1696" s="213">
        <v>144696.68</v>
      </c>
      <c r="G1696" s="205">
        <f>F1696*C1696</f>
        <v>4340900.3999999994</v>
      </c>
      <c r="H1696" s="206"/>
      <c r="J1696" s="368"/>
      <c r="K1696" s="369"/>
      <c r="L1696" s="1"/>
      <c r="M1696" s="1"/>
    </row>
    <row r="1697" spans="1:13" s="3" customFormat="1" ht="15" customHeight="1">
      <c r="A1697" s="210"/>
      <c r="B1697" s="204" t="s">
        <v>298</v>
      </c>
      <c r="C1697" s="211">
        <v>4</v>
      </c>
      <c r="D1697" s="212" t="s">
        <v>15</v>
      </c>
      <c r="E1697" s="203" t="s">
        <v>16</v>
      </c>
      <c r="F1697" s="213">
        <v>540000</v>
      </c>
      <c r="G1697" s="205">
        <f>F1697*C1697</f>
        <v>2160000</v>
      </c>
      <c r="H1697" s="214">
        <f>SUM(G1692:G1697)</f>
        <v>9053536.8834999986</v>
      </c>
      <c r="J1697" s="368"/>
      <c r="K1697" s="369"/>
      <c r="L1697" s="1"/>
      <c r="M1697" s="1"/>
    </row>
    <row r="1698" spans="1:13" s="3" customFormat="1" ht="15" customHeight="1">
      <c r="A1698" s="210"/>
      <c r="B1698" s="204" t="s">
        <v>299</v>
      </c>
      <c r="C1698" s="211"/>
      <c r="D1698" s="212"/>
      <c r="E1698" s="203"/>
      <c r="F1698" s="213"/>
      <c r="G1698" s="205"/>
      <c r="H1698" s="214"/>
      <c r="J1698" s="368"/>
      <c r="K1698" s="369"/>
      <c r="L1698" s="1"/>
      <c r="M1698" s="1"/>
    </row>
    <row r="1699" spans="1:13" s="3" customFormat="1" ht="15" customHeight="1">
      <c r="A1699" s="210"/>
      <c r="B1699" s="204"/>
      <c r="C1699" s="211"/>
      <c r="D1699" s="212"/>
      <c r="E1699" s="203"/>
      <c r="F1699" s="213"/>
      <c r="G1699" s="205"/>
      <c r="H1699" s="214"/>
      <c r="J1699" s="368"/>
      <c r="K1699" s="369"/>
      <c r="L1699" s="1"/>
      <c r="M1699" s="1"/>
    </row>
    <row r="1700" spans="1:13" s="3" customFormat="1" ht="15" customHeight="1">
      <c r="A1700" s="200" t="s">
        <v>73</v>
      </c>
      <c r="B1700" s="201" t="s">
        <v>300</v>
      </c>
      <c r="C1700" s="211"/>
      <c r="D1700" s="203"/>
      <c r="E1700" s="203"/>
      <c r="F1700" s="213"/>
      <c r="G1700" s="205"/>
      <c r="H1700" s="206"/>
      <c r="J1700" s="368"/>
      <c r="K1700" s="369"/>
      <c r="L1700" s="1"/>
      <c r="M1700" s="1"/>
    </row>
    <row r="1701" spans="1:13" s="3" customFormat="1" ht="15" customHeight="1">
      <c r="A1701" s="200"/>
      <c r="B1701" s="201" t="s">
        <v>301</v>
      </c>
      <c r="C1701" s="211"/>
      <c r="D1701" s="203"/>
      <c r="E1701" s="203"/>
      <c r="F1701" s="213"/>
      <c r="G1701" s="205"/>
      <c r="H1701" s="206"/>
      <c r="J1701" s="368"/>
      <c r="K1701" s="369"/>
      <c r="L1701" s="1"/>
    </row>
    <row r="1702" spans="1:13" s="3" customFormat="1" ht="15" customHeight="1">
      <c r="A1702" s="210"/>
      <c r="B1702" s="204" t="s">
        <v>302</v>
      </c>
      <c r="C1702" s="211">
        <v>1</v>
      </c>
      <c r="D1702" s="212" t="s">
        <v>223</v>
      </c>
      <c r="E1702" s="203" t="s">
        <v>51</v>
      </c>
      <c r="F1702" s="213">
        <v>100000</v>
      </c>
      <c r="G1702" s="205">
        <f>F1702*C1702</f>
        <v>100000</v>
      </c>
      <c r="H1702" s="206"/>
      <c r="J1702" s="368"/>
      <c r="K1702" s="369"/>
      <c r="L1702" s="1"/>
    </row>
    <row r="1703" spans="1:13" s="3" customFormat="1" ht="15" customHeight="1">
      <c r="A1703" s="210"/>
      <c r="B1703" s="204" t="s">
        <v>303</v>
      </c>
      <c r="C1703" s="211"/>
      <c r="D1703" s="212"/>
      <c r="E1703" s="203"/>
      <c r="F1703" s="213"/>
      <c r="G1703" s="205"/>
      <c r="H1703" s="206"/>
      <c r="J1703" s="368"/>
      <c r="K1703" s="369"/>
      <c r="L1703" s="1"/>
    </row>
    <row r="1704" spans="1:13" s="3" customFormat="1" ht="15" customHeight="1">
      <c r="A1704" s="210"/>
      <c r="B1704" s="204" t="s">
        <v>304</v>
      </c>
      <c r="C1704" s="240">
        <v>6.4000000000000001E-2</v>
      </c>
      <c r="D1704" s="212" t="s">
        <v>288</v>
      </c>
      <c r="E1704" s="203" t="s">
        <v>305</v>
      </c>
      <c r="F1704" s="213">
        <v>455805.37</v>
      </c>
      <c r="G1704" s="205">
        <f>F1704*C1704</f>
        <v>29171.543679999999</v>
      </c>
      <c r="H1704" s="206"/>
      <c r="J1704" s="368"/>
      <c r="K1704" s="369"/>
      <c r="L1704" s="1"/>
    </row>
    <row r="1705" spans="1:13" s="3" customFormat="1" ht="15" customHeight="1">
      <c r="A1705" s="210"/>
      <c r="B1705" s="204" t="s">
        <v>306</v>
      </c>
      <c r="C1705" s="211"/>
      <c r="D1705" s="212"/>
      <c r="E1705" s="203"/>
      <c r="F1705" s="213"/>
      <c r="G1705" s="205"/>
      <c r="H1705" s="206"/>
      <c r="J1705" s="368"/>
      <c r="K1705" s="369"/>
      <c r="L1705" s="1"/>
    </row>
    <row r="1706" spans="1:13" s="3" customFormat="1" ht="15" customHeight="1">
      <c r="A1706" s="210"/>
      <c r="B1706" s="204" t="s">
        <v>307</v>
      </c>
      <c r="C1706" s="211">
        <v>0.08</v>
      </c>
      <c r="D1706" s="212" t="s">
        <v>288</v>
      </c>
      <c r="E1706" s="203" t="s">
        <v>305</v>
      </c>
      <c r="F1706" s="213">
        <v>455805.37</v>
      </c>
      <c r="G1706" s="205">
        <f>F1706*C1706</f>
        <v>36464.429600000003</v>
      </c>
      <c r="H1706" s="214"/>
      <c r="J1706" s="368"/>
      <c r="K1706" s="369"/>
      <c r="L1706" s="1"/>
    </row>
    <row r="1707" spans="1:13" s="3" customFormat="1" ht="15" customHeight="1">
      <c r="A1707" s="210"/>
      <c r="B1707" s="204" t="s">
        <v>306</v>
      </c>
      <c r="C1707" s="211"/>
      <c r="D1707" s="212"/>
      <c r="E1707" s="203"/>
      <c r="F1707" s="213"/>
      <c r="G1707" s="205"/>
      <c r="H1707" s="214"/>
      <c r="J1707" s="368"/>
      <c r="K1707" s="369"/>
      <c r="L1707" s="1"/>
    </row>
    <row r="1708" spans="1:13" s="3" customFormat="1" ht="15" customHeight="1">
      <c r="A1708" s="210"/>
      <c r="B1708" s="204" t="s">
        <v>308</v>
      </c>
      <c r="C1708" s="211">
        <v>1</v>
      </c>
      <c r="D1708" s="203" t="s">
        <v>69</v>
      </c>
      <c r="E1708" s="203" t="s">
        <v>51</v>
      </c>
      <c r="F1708" s="213">
        <v>150000</v>
      </c>
      <c r="G1708" s="205">
        <f>F1708*C1708</f>
        <v>150000</v>
      </c>
      <c r="H1708" s="214">
        <f>SUM(G1702:G1708)</f>
        <v>315635.97328000003</v>
      </c>
      <c r="J1708" s="368"/>
      <c r="K1708" s="369"/>
      <c r="L1708" s="1"/>
    </row>
    <row r="1709" spans="1:13" s="3" customFormat="1" ht="15" customHeight="1" thickBot="1">
      <c r="A1709" s="210"/>
      <c r="B1709" s="204"/>
      <c r="C1709" s="211"/>
      <c r="D1709" s="203"/>
      <c r="E1709" s="203"/>
      <c r="F1709" s="213"/>
      <c r="G1709" s="205"/>
      <c r="H1709" s="206"/>
      <c r="L1709" s="1"/>
    </row>
    <row r="1710" spans="1:13" s="3" customFormat="1">
      <c r="A1710" s="108"/>
      <c r="B1710" s="109"/>
      <c r="C1710" s="110"/>
      <c r="D1710" s="111"/>
      <c r="E1710" s="111"/>
      <c r="F1710" s="111" t="s">
        <v>25</v>
      </c>
      <c r="G1710" s="112">
        <f>SUM(H1688:H1708)</f>
        <v>11534652.536779998</v>
      </c>
      <c r="H1710" s="113">
        <f>SUM(G1710:G1711)</f>
        <v>12688117.790457997</v>
      </c>
      <c r="J1710" s="400"/>
      <c r="L1710" s="1"/>
      <c r="M1710" s="1"/>
    </row>
    <row r="1711" spans="1:13" s="4" customFormat="1" ht="14.4" thickBot="1">
      <c r="A1711" s="114"/>
      <c r="B1711" s="115"/>
      <c r="C1711" s="116"/>
      <c r="D1711" s="116"/>
      <c r="E1711" s="117"/>
      <c r="F1711" s="118" t="s">
        <v>26</v>
      </c>
      <c r="G1711" s="119">
        <f>G1710/10</f>
        <v>1153465.2536779998</v>
      </c>
      <c r="H1711" s="216"/>
      <c r="I1711" s="6"/>
      <c r="J1711" s="3"/>
      <c r="K1711" s="3"/>
      <c r="L1711" s="3"/>
      <c r="M1711" s="3"/>
    </row>
    <row r="1712" spans="1:13">
      <c r="A1712" s="121" t="s">
        <v>27</v>
      </c>
      <c r="B1712" s="122"/>
      <c r="C1712" s="122"/>
      <c r="D1712" s="122"/>
      <c r="E1712" s="122"/>
      <c r="F1712" s="217"/>
      <c r="G1712" s="124" t="s">
        <v>28</v>
      </c>
      <c r="H1712" s="113">
        <f>H1710</f>
        <v>12688117.790457997</v>
      </c>
    </row>
    <row r="1713" spans="1:9" ht="12.6" thickBot="1">
      <c r="A1713" s="125"/>
      <c r="B1713" s="241" t="s">
        <v>309</v>
      </c>
      <c r="C1713" s="127"/>
      <c r="D1713" s="127"/>
      <c r="E1713" s="127"/>
      <c r="F1713" s="218"/>
      <c r="G1713" s="129" t="s">
        <v>30</v>
      </c>
      <c r="H1713" s="130">
        <f>ROUND(H1712,-2)</f>
        <v>12688100</v>
      </c>
    </row>
    <row r="1714" spans="1:9">
      <c r="A1714" s="131"/>
      <c r="B1714" s="131"/>
      <c r="C1714" s="131"/>
      <c r="D1714" s="131"/>
      <c r="E1714" s="131"/>
      <c r="F1714" s="131"/>
      <c r="G1714" s="131"/>
      <c r="H1714" s="132"/>
      <c r="I1714" s="3"/>
    </row>
    <row r="1715" spans="1:9">
      <c r="A1715" s="131"/>
      <c r="B1715" s="131"/>
      <c r="C1715" s="131"/>
      <c r="D1715" s="131"/>
      <c r="E1715" s="131"/>
      <c r="F1715" s="131"/>
      <c r="G1715" s="131"/>
      <c r="H1715" s="132"/>
      <c r="I1715" s="3"/>
    </row>
    <row r="1716" spans="1:9">
      <c r="A1716" s="6"/>
      <c r="B1716" s="6"/>
      <c r="C1716" s="6"/>
      <c r="D1716" s="6"/>
      <c r="E1716" s="6"/>
      <c r="F1716" s="6"/>
      <c r="G1716" s="1591" t="s">
        <v>257</v>
      </c>
      <c r="H1716" s="1591"/>
      <c r="I1716" s="3"/>
    </row>
    <row r="1717" spans="1:9">
      <c r="A1717" s="1591" t="s">
        <v>234</v>
      </c>
      <c r="B1717" s="1591"/>
      <c r="C1717" s="1591" t="s">
        <v>32</v>
      </c>
      <c r="D1717" s="1591"/>
      <c r="E1717" s="1591"/>
      <c r="F1717" s="6"/>
      <c r="G1717" s="1591" t="s">
        <v>33</v>
      </c>
      <c r="H1717" s="1591"/>
      <c r="I1717" s="3"/>
    </row>
    <row r="1718" spans="1:9">
      <c r="A1718" s="6"/>
      <c r="B1718" s="6"/>
      <c r="C1718" s="6"/>
      <c r="D1718" s="6"/>
      <c r="E1718" s="6"/>
      <c r="F1718" s="6"/>
      <c r="G1718" s="6"/>
      <c r="H1718" s="6"/>
      <c r="I1718" s="3"/>
    </row>
    <row r="1719" spans="1:9">
      <c r="A1719" s="6"/>
      <c r="B1719" s="6"/>
      <c r="C1719" s="6"/>
      <c r="D1719" s="6"/>
      <c r="E1719" s="6"/>
      <c r="F1719" s="6"/>
      <c r="G1719" s="6"/>
      <c r="H1719" s="6"/>
      <c r="I1719" s="3"/>
    </row>
    <row r="1720" spans="1:9">
      <c r="A1720" s="6"/>
      <c r="B1720" s="6"/>
      <c r="C1720" s="6"/>
      <c r="D1720" s="6"/>
      <c r="E1720" s="6"/>
      <c r="F1720" s="6"/>
      <c r="G1720" s="6"/>
      <c r="H1720" s="6"/>
      <c r="I1720" s="3"/>
    </row>
    <row r="1721" spans="1:9">
      <c r="A1721" s="1590" t="s">
        <v>34</v>
      </c>
      <c r="B1721" s="1590"/>
      <c r="C1721" s="1590" t="s">
        <v>35</v>
      </c>
      <c r="D1721" s="1590"/>
      <c r="E1721" s="1590"/>
      <c r="F1721" s="6"/>
      <c r="G1721" s="1590" t="s">
        <v>36</v>
      </c>
      <c r="H1721" s="1590"/>
      <c r="I1721" s="3"/>
    </row>
    <row r="1722" spans="1:9">
      <c r="A1722" s="1591" t="s">
        <v>37</v>
      </c>
      <c r="B1722" s="1591"/>
      <c r="C1722" s="1591" t="s">
        <v>38</v>
      </c>
      <c r="D1722" s="1591"/>
      <c r="E1722" s="1591"/>
      <c r="F1722" s="6"/>
      <c r="G1722" s="1591" t="s">
        <v>39</v>
      </c>
      <c r="H1722" s="1591"/>
      <c r="I1722" s="3"/>
    </row>
    <row r="1723" spans="1:9">
      <c r="I1723" s="3"/>
    </row>
    <row r="1724" spans="1:9">
      <c r="I1724" s="3"/>
    </row>
    <row r="1725" spans="1:9">
      <c r="I1725" s="3"/>
    </row>
    <row r="1726" spans="1:9">
      <c r="I1726" s="3"/>
    </row>
    <row r="1727" spans="1:9">
      <c r="I1727" s="3"/>
    </row>
    <row r="1728" spans="1:9">
      <c r="I1728" s="3"/>
    </row>
    <row r="1729" spans="1:9" ht="14.4">
      <c r="A1729" s="1584" t="s">
        <v>235</v>
      </c>
      <c r="B1729" s="1584"/>
      <c r="C1729" s="1584"/>
      <c r="D1729" s="1584"/>
      <c r="E1729" s="1584"/>
      <c r="F1729" s="1584"/>
      <c r="G1729" s="1584"/>
      <c r="H1729" s="1584"/>
      <c r="I1729" s="3"/>
    </row>
    <row r="1730" spans="1:9" ht="14.4">
      <c r="A1730" s="1584" t="s">
        <v>310</v>
      </c>
      <c r="B1730" s="1584"/>
      <c r="C1730" s="1584"/>
      <c r="D1730" s="1584"/>
      <c r="E1730" s="1584"/>
      <c r="F1730" s="1584"/>
      <c r="G1730" s="1584"/>
      <c r="H1730" s="1584"/>
      <c r="I1730" s="3"/>
    </row>
    <row r="1731" spans="1:9" ht="13.8">
      <c r="A1731" s="1585" t="s">
        <v>311</v>
      </c>
      <c r="B1731" s="1585"/>
      <c r="C1731" s="1585"/>
      <c r="D1731" s="1585"/>
      <c r="E1731" s="1585"/>
      <c r="F1731" s="1585"/>
      <c r="G1731" s="1585"/>
      <c r="H1731" s="1585"/>
      <c r="I1731" s="3"/>
    </row>
    <row r="1732" spans="1:9">
      <c r="A1732" s="7"/>
      <c r="B1732" s="7"/>
      <c r="C1732" s="7"/>
      <c r="D1732" s="7"/>
      <c r="E1732" s="7"/>
      <c r="F1732" s="7"/>
      <c r="G1732" s="7"/>
      <c r="H1732" s="7"/>
      <c r="I1732" s="3"/>
    </row>
    <row r="1733" spans="1:9" ht="12.6" thickBot="1">
      <c r="A1733" s="7"/>
      <c r="B1733" s="7"/>
      <c r="C1733" s="7"/>
      <c r="D1733" s="7"/>
      <c r="E1733" s="7"/>
      <c r="F1733" s="7"/>
      <c r="G1733" s="7"/>
      <c r="H1733" s="7"/>
      <c r="I1733" s="3"/>
    </row>
    <row r="1734" spans="1:9">
      <c r="A1734" s="1586" t="s">
        <v>3</v>
      </c>
      <c r="B1734" s="1588" t="s">
        <v>4</v>
      </c>
      <c r="C1734" s="1588" t="s">
        <v>5</v>
      </c>
      <c r="D1734" s="1588" t="s">
        <v>6</v>
      </c>
      <c r="E1734" s="1588" t="s">
        <v>7</v>
      </c>
      <c r="F1734" s="76" t="s">
        <v>8</v>
      </c>
      <c r="G1734" s="76" t="s">
        <v>9</v>
      </c>
      <c r="H1734" s="77" t="s">
        <v>10</v>
      </c>
      <c r="I1734" s="3"/>
    </row>
    <row r="1735" spans="1:9">
      <c r="A1735" s="1587"/>
      <c r="B1735" s="1589"/>
      <c r="C1735" s="1589"/>
      <c r="D1735" s="1589"/>
      <c r="E1735" s="1589"/>
      <c r="F1735" s="78" t="s">
        <v>11</v>
      </c>
      <c r="G1735" s="78" t="s">
        <v>11</v>
      </c>
      <c r="H1735" s="79" t="s">
        <v>11</v>
      </c>
      <c r="I1735" s="3"/>
    </row>
    <row r="1736" spans="1:9">
      <c r="A1736" s="200" t="s">
        <v>12</v>
      </c>
      <c r="B1736" s="201" t="s">
        <v>312</v>
      </c>
      <c r="C1736" s="202"/>
      <c r="D1736" s="203"/>
      <c r="E1736" s="203"/>
      <c r="F1736" s="204"/>
      <c r="G1736" s="205"/>
      <c r="H1736" s="206"/>
      <c r="I1736" s="3"/>
    </row>
    <row r="1737" spans="1:9">
      <c r="A1737" s="210"/>
      <c r="B1737" s="204" t="s">
        <v>313</v>
      </c>
      <c r="C1737" s="211">
        <v>1</v>
      </c>
      <c r="D1737" s="212" t="s">
        <v>69</v>
      </c>
      <c r="E1737" s="203" t="s">
        <v>51</v>
      </c>
      <c r="F1737" s="213">
        <v>750000</v>
      </c>
      <c r="G1737" s="205">
        <f>F1737*C1737</f>
        <v>750000</v>
      </c>
      <c r="H1737" s="206"/>
      <c r="I1737" s="3"/>
    </row>
    <row r="1738" spans="1:9">
      <c r="A1738" s="210"/>
      <c r="B1738" s="204" t="s">
        <v>314</v>
      </c>
      <c r="C1738" s="211">
        <v>2</v>
      </c>
      <c r="D1738" s="212" t="s">
        <v>21</v>
      </c>
      <c r="E1738" s="203" t="s">
        <v>51</v>
      </c>
      <c r="F1738" s="213">
        <v>1000000</v>
      </c>
      <c r="G1738" s="205">
        <f>F1738*C1738</f>
        <v>2000000</v>
      </c>
      <c r="H1738" s="206"/>
      <c r="I1738" s="3"/>
    </row>
    <row r="1739" spans="1:9">
      <c r="A1739" s="210"/>
      <c r="B1739" s="204" t="s">
        <v>315</v>
      </c>
      <c r="C1739" s="211">
        <v>1</v>
      </c>
      <c r="D1739" s="212" t="s">
        <v>21</v>
      </c>
      <c r="E1739" s="203" t="s">
        <v>51</v>
      </c>
      <c r="F1739" s="213">
        <v>850000</v>
      </c>
      <c r="G1739" s="205">
        <f>F1739*C1739</f>
        <v>850000</v>
      </c>
      <c r="H1739" s="206"/>
      <c r="I1739" s="3"/>
    </row>
    <row r="1740" spans="1:9">
      <c r="A1740" s="210"/>
      <c r="B1740" s="204" t="s">
        <v>316</v>
      </c>
      <c r="C1740" s="211">
        <v>1</v>
      </c>
      <c r="D1740" s="212" t="s">
        <v>69</v>
      </c>
      <c r="E1740" s="203" t="s">
        <v>51</v>
      </c>
      <c r="F1740" s="213">
        <v>500000</v>
      </c>
      <c r="G1740" s="205">
        <f>F1740*C1740</f>
        <v>500000</v>
      </c>
      <c r="H1740" s="206"/>
      <c r="I1740" s="3"/>
    </row>
    <row r="1741" spans="1:9">
      <c r="A1741" s="210"/>
      <c r="B1741" s="204" t="s">
        <v>317</v>
      </c>
      <c r="C1741" s="211">
        <v>3</v>
      </c>
      <c r="D1741" s="212" t="s">
        <v>21</v>
      </c>
      <c r="E1741" s="203" t="s">
        <v>51</v>
      </c>
      <c r="F1741" s="213">
        <v>150000</v>
      </c>
      <c r="G1741" s="205">
        <f>F1741*C1741</f>
        <v>450000</v>
      </c>
      <c r="H1741" s="214">
        <f>SUM(G1737:G1741)</f>
        <v>4550000</v>
      </c>
      <c r="I1741" s="3"/>
    </row>
    <row r="1742" spans="1:9">
      <c r="A1742" s="210"/>
      <c r="B1742" s="204" t="s">
        <v>318</v>
      </c>
      <c r="C1742" s="211"/>
      <c r="D1742" s="212"/>
      <c r="E1742" s="203"/>
      <c r="F1742" s="213"/>
      <c r="G1742" s="205"/>
      <c r="H1742" s="206"/>
      <c r="I1742" s="3"/>
    </row>
    <row r="1743" spans="1:9">
      <c r="A1743" s="210"/>
      <c r="B1743" s="204"/>
      <c r="C1743" s="211"/>
      <c r="D1743" s="203"/>
      <c r="E1743" s="203"/>
      <c r="F1743" s="213"/>
      <c r="G1743" s="205"/>
      <c r="H1743" s="206"/>
      <c r="I1743" s="3"/>
    </row>
    <row r="1744" spans="1:9">
      <c r="A1744" s="200" t="s">
        <v>18</v>
      </c>
      <c r="B1744" s="201" t="s">
        <v>319</v>
      </c>
      <c r="C1744" s="211"/>
      <c r="D1744" s="203"/>
      <c r="E1744" s="203"/>
      <c r="F1744" s="213"/>
      <c r="G1744" s="205"/>
      <c r="H1744" s="206"/>
      <c r="I1744" s="3"/>
    </row>
    <row r="1745" spans="1:9">
      <c r="A1745" s="200"/>
      <c r="B1745" s="204" t="s">
        <v>320</v>
      </c>
      <c r="C1745" s="211"/>
      <c r="D1745" s="203"/>
      <c r="E1745" s="203"/>
      <c r="F1745" s="213"/>
      <c r="G1745" s="205"/>
      <c r="H1745" s="206"/>
      <c r="I1745" s="3"/>
    </row>
    <row r="1746" spans="1:9">
      <c r="A1746" s="210"/>
      <c r="B1746" s="204" t="s">
        <v>321</v>
      </c>
      <c r="C1746" s="211">
        <v>945</v>
      </c>
      <c r="D1746" s="212" t="s">
        <v>288</v>
      </c>
      <c r="E1746" s="203" t="s">
        <v>82</v>
      </c>
      <c r="F1746" s="213">
        <v>4786.5</v>
      </c>
      <c r="G1746" s="205">
        <f>F1746*C1746</f>
        <v>4523242.5</v>
      </c>
      <c r="H1746" s="206"/>
      <c r="I1746" s="3"/>
    </row>
    <row r="1747" spans="1:9">
      <c r="A1747" s="210"/>
      <c r="B1747" s="204" t="s">
        <v>322</v>
      </c>
      <c r="C1747" s="211">
        <v>2628</v>
      </c>
      <c r="D1747" s="212" t="s">
        <v>296</v>
      </c>
      <c r="E1747" s="203" t="s">
        <v>82</v>
      </c>
      <c r="F1747" s="213">
        <v>3200.16</v>
      </c>
      <c r="G1747" s="205">
        <f>F1747*C1747</f>
        <v>8410020.4800000004</v>
      </c>
      <c r="H1747" s="206"/>
      <c r="I1747" s="3"/>
    </row>
    <row r="1748" spans="1:9">
      <c r="A1748" s="210"/>
      <c r="B1748" s="204" t="s">
        <v>323</v>
      </c>
      <c r="C1748" s="211">
        <v>1890</v>
      </c>
      <c r="D1748" s="212" t="s">
        <v>288</v>
      </c>
      <c r="E1748" s="203" t="s">
        <v>82</v>
      </c>
      <c r="F1748" s="213">
        <v>3200.16</v>
      </c>
      <c r="G1748" s="205">
        <f>F1748*C1748</f>
        <v>6048302.3999999994</v>
      </c>
      <c r="H1748" s="206"/>
      <c r="I1748" s="3"/>
    </row>
    <row r="1749" spans="1:9">
      <c r="A1749" s="210"/>
      <c r="B1749" s="204" t="s">
        <v>324</v>
      </c>
      <c r="C1749" s="211">
        <v>94.5</v>
      </c>
      <c r="D1749" s="212" t="s">
        <v>288</v>
      </c>
      <c r="E1749" s="203" t="s">
        <v>325</v>
      </c>
      <c r="F1749" s="213">
        <v>77424.05</v>
      </c>
      <c r="G1749" s="205">
        <f>F1749*C1749</f>
        <v>7316572.7250000006</v>
      </c>
      <c r="H1749" s="214">
        <f>SUM(G1746:G1749)</f>
        <v>26298138.105</v>
      </c>
      <c r="I1749" s="3"/>
    </row>
    <row r="1750" spans="1:9">
      <c r="A1750" s="210"/>
      <c r="B1750" s="204"/>
      <c r="C1750" s="211"/>
      <c r="D1750" s="212"/>
      <c r="E1750" s="203"/>
      <c r="F1750" s="213"/>
      <c r="G1750" s="205"/>
      <c r="H1750" s="214"/>
      <c r="I1750" s="3"/>
    </row>
    <row r="1751" spans="1:9">
      <c r="A1751" s="200" t="s">
        <v>73</v>
      </c>
      <c r="B1751" s="201" t="s">
        <v>326</v>
      </c>
      <c r="C1751" s="211"/>
      <c r="D1751" s="203"/>
      <c r="E1751" s="203"/>
      <c r="F1751" s="213"/>
      <c r="G1751" s="205"/>
      <c r="H1751" s="206"/>
      <c r="I1751" s="3"/>
    </row>
    <row r="1752" spans="1:9">
      <c r="A1752" s="210"/>
      <c r="B1752" s="204" t="s">
        <v>327</v>
      </c>
      <c r="C1752" s="211">
        <v>1</v>
      </c>
      <c r="D1752" s="212" t="s">
        <v>69</v>
      </c>
      <c r="E1752" s="203" t="s">
        <v>51</v>
      </c>
      <c r="F1752" s="213">
        <v>350000</v>
      </c>
      <c r="G1752" s="205">
        <f>F1752*C1752</f>
        <v>350000</v>
      </c>
      <c r="H1752" s="206"/>
      <c r="I1752" s="3"/>
    </row>
    <row r="1753" spans="1:9">
      <c r="A1753" s="210"/>
      <c r="B1753" s="204" t="s">
        <v>328</v>
      </c>
      <c r="C1753" s="211">
        <v>1</v>
      </c>
      <c r="D1753" s="212" t="s">
        <v>69</v>
      </c>
      <c r="E1753" s="203" t="s">
        <v>51</v>
      </c>
      <c r="F1753" s="213">
        <v>125000</v>
      </c>
      <c r="G1753" s="205">
        <f>F1753*C1753</f>
        <v>125000</v>
      </c>
      <c r="H1753" s="214">
        <f>SUM(G1752:G1753)</f>
        <v>475000</v>
      </c>
      <c r="I1753" s="3"/>
    </row>
    <row r="1754" spans="1:9">
      <c r="A1754" s="210"/>
      <c r="B1754" s="204"/>
      <c r="C1754" s="211"/>
      <c r="D1754" s="212"/>
      <c r="E1754" s="203"/>
      <c r="F1754" s="213"/>
      <c r="G1754" s="205"/>
      <c r="H1754" s="214"/>
      <c r="I1754" s="3"/>
    </row>
    <row r="1755" spans="1:9">
      <c r="A1755" s="210"/>
      <c r="B1755" s="204"/>
      <c r="C1755" s="211"/>
      <c r="D1755" s="203"/>
      <c r="E1755" s="203"/>
      <c r="F1755" s="213"/>
      <c r="G1755" s="205"/>
      <c r="H1755" s="206"/>
      <c r="I1755" s="3"/>
    </row>
    <row r="1756" spans="1:9" ht="12.6" thickBot="1">
      <c r="A1756" s="210"/>
      <c r="B1756" s="204"/>
      <c r="C1756" s="211"/>
      <c r="D1756" s="203"/>
      <c r="E1756" s="203"/>
      <c r="F1756" s="213"/>
      <c r="G1756" s="205"/>
      <c r="H1756" s="206"/>
      <c r="I1756" s="3"/>
    </row>
    <row r="1757" spans="1:9">
      <c r="A1757" s="108"/>
      <c r="B1757" s="109"/>
      <c r="C1757" s="110"/>
      <c r="D1757" s="111"/>
      <c r="E1757" s="111"/>
      <c r="F1757" s="111" t="s">
        <v>25</v>
      </c>
      <c r="G1757" s="112">
        <f>SUM(H1737:H1754)</f>
        <v>31323138.105</v>
      </c>
      <c r="H1757" s="113">
        <f>SUM(G1757:G1758)</f>
        <v>34455451.9155</v>
      </c>
      <c r="I1757" s="3"/>
    </row>
    <row r="1758" spans="1:9" ht="14.4" thickBot="1">
      <c r="A1758" s="114"/>
      <c r="B1758" s="115"/>
      <c r="C1758" s="116"/>
      <c r="D1758" s="116"/>
      <c r="E1758" s="117"/>
      <c r="F1758" s="118" t="s">
        <v>26</v>
      </c>
      <c r="G1758" s="119">
        <f>G1757/10</f>
        <v>3132313.8105000001</v>
      </c>
      <c r="H1758" s="216"/>
    </row>
    <row r="1759" spans="1:9">
      <c r="A1759" s="121" t="s">
        <v>27</v>
      </c>
      <c r="B1759" s="122"/>
      <c r="C1759" s="122"/>
      <c r="D1759" s="122"/>
      <c r="E1759" s="122"/>
      <c r="F1759" s="217"/>
      <c r="G1759" s="124" t="s">
        <v>28</v>
      </c>
      <c r="H1759" s="113">
        <f>H1757</f>
        <v>34455451.9155</v>
      </c>
    </row>
    <row r="1760" spans="1:9" ht="12.6" thickBot="1">
      <c r="A1760" s="125"/>
      <c r="B1760" s="127" t="s">
        <v>329</v>
      </c>
      <c r="C1760" s="127"/>
      <c r="D1760" s="127"/>
      <c r="E1760" s="127"/>
      <c r="F1760" s="218"/>
      <c r="G1760" s="129" t="s">
        <v>30</v>
      </c>
      <c r="H1760" s="130">
        <f>ROUND(H1759,-2)</f>
        <v>34455500</v>
      </c>
    </row>
    <row r="1761" spans="1:8">
      <c r="A1761" s="131"/>
      <c r="B1761" s="131"/>
      <c r="C1761" s="131"/>
      <c r="D1761" s="131"/>
      <c r="E1761" s="131"/>
      <c r="F1761" s="131"/>
      <c r="G1761" s="131"/>
      <c r="H1761" s="132"/>
    </row>
    <row r="1762" spans="1:8">
      <c r="A1762" s="131"/>
      <c r="B1762" s="131"/>
      <c r="C1762" s="131"/>
      <c r="D1762" s="131"/>
      <c r="E1762" s="131"/>
      <c r="F1762" s="131"/>
      <c r="G1762" s="131"/>
      <c r="H1762" s="132"/>
    </row>
    <row r="1763" spans="1:8">
      <c r="A1763" s="6"/>
      <c r="B1763" s="6"/>
      <c r="C1763" s="6"/>
      <c r="D1763" s="6"/>
      <c r="E1763" s="6"/>
      <c r="F1763" s="6"/>
      <c r="G1763" s="1591" t="s">
        <v>330</v>
      </c>
      <c r="H1763" s="1591"/>
    </row>
    <row r="1764" spans="1:8">
      <c r="A1764" s="1591" t="s">
        <v>234</v>
      </c>
      <c r="B1764" s="1591"/>
      <c r="C1764" s="1591" t="s">
        <v>32</v>
      </c>
      <c r="D1764" s="1591"/>
      <c r="E1764" s="1591"/>
      <c r="F1764" s="6"/>
      <c r="G1764" s="1591" t="s">
        <v>33</v>
      </c>
      <c r="H1764" s="1591"/>
    </row>
    <row r="1765" spans="1:8">
      <c r="A1765" s="6"/>
      <c r="B1765" s="6"/>
      <c r="C1765" s="6"/>
      <c r="D1765" s="6"/>
      <c r="E1765" s="6"/>
      <c r="F1765" s="6"/>
      <c r="G1765" s="6"/>
      <c r="H1765" s="6"/>
    </row>
    <row r="1766" spans="1:8">
      <c r="A1766" s="6"/>
      <c r="B1766" s="6"/>
      <c r="C1766" s="6"/>
      <c r="D1766" s="6"/>
      <c r="E1766" s="6"/>
      <c r="F1766" s="6"/>
      <c r="G1766" s="6"/>
      <c r="H1766" s="6"/>
    </row>
    <row r="1767" spans="1:8">
      <c r="A1767" s="6"/>
      <c r="B1767" s="6"/>
      <c r="C1767" s="6"/>
      <c r="D1767" s="6"/>
      <c r="E1767" s="6"/>
      <c r="F1767" s="6"/>
      <c r="G1767" s="6"/>
      <c r="H1767" s="6"/>
    </row>
    <row r="1768" spans="1:8">
      <c r="A1768" s="1590" t="s">
        <v>34</v>
      </c>
      <c r="B1768" s="1590"/>
      <c r="C1768" s="1590" t="s">
        <v>35</v>
      </c>
      <c r="D1768" s="1590"/>
      <c r="E1768" s="1590"/>
      <c r="F1768" s="6"/>
      <c r="G1768" s="1590" t="s">
        <v>36</v>
      </c>
      <c r="H1768" s="1590"/>
    </row>
    <row r="1769" spans="1:8">
      <c r="A1769" s="1591" t="s">
        <v>37</v>
      </c>
      <c r="B1769" s="1591"/>
      <c r="C1769" s="1591" t="s">
        <v>38</v>
      </c>
      <c r="D1769" s="1591"/>
      <c r="E1769" s="1591"/>
      <c r="F1769" s="6"/>
      <c r="G1769" s="1591" t="s">
        <v>39</v>
      </c>
      <c r="H1769" s="1591"/>
    </row>
    <row r="1774" spans="1:8" ht="14.4">
      <c r="A1774" s="1584" t="s">
        <v>235</v>
      </c>
      <c r="B1774" s="1584"/>
      <c r="C1774" s="1584"/>
      <c r="D1774" s="1584"/>
      <c r="E1774" s="1584"/>
      <c r="F1774" s="1584"/>
      <c r="G1774" s="1584"/>
      <c r="H1774" s="1584"/>
    </row>
    <row r="1775" spans="1:8" ht="14.4">
      <c r="A1775" s="1584" t="s">
        <v>331</v>
      </c>
      <c r="B1775" s="1584"/>
      <c r="C1775" s="1584"/>
      <c r="D1775" s="1584"/>
      <c r="E1775" s="1584"/>
      <c r="F1775" s="1584"/>
      <c r="G1775" s="1584"/>
      <c r="H1775" s="1584"/>
    </row>
    <row r="1776" spans="1:8" ht="13.8">
      <c r="A1776" s="1585" t="s">
        <v>311</v>
      </c>
      <c r="B1776" s="1585"/>
      <c r="C1776" s="1585"/>
      <c r="D1776" s="1585"/>
      <c r="E1776" s="1585"/>
      <c r="F1776" s="1585"/>
      <c r="G1776" s="1585"/>
      <c r="H1776" s="1585"/>
    </row>
    <row r="1777" spans="1:8">
      <c r="A1777" s="7"/>
      <c r="B1777" s="7"/>
      <c r="C1777" s="7"/>
      <c r="D1777" s="7"/>
      <c r="E1777" s="7"/>
      <c r="F1777" s="7"/>
      <c r="G1777" s="7"/>
      <c r="H1777" s="7"/>
    </row>
    <row r="1778" spans="1:8" ht="12.6" thickBot="1">
      <c r="A1778" s="7"/>
      <c r="B1778" s="7"/>
      <c r="C1778" s="7"/>
      <c r="D1778" s="7"/>
      <c r="E1778" s="7"/>
      <c r="F1778" s="7"/>
      <c r="G1778" s="7"/>
      <c r="H1778" s="7"/>
    </row>
    <row r="1779" spans="1:8">
      <c r="A1779" s="1586" t="s">
        <v>3</v>
      </c>
      <c r="B1779" s="1588" t="s">
        <v>4</v>
      </c>
      <c r="C1779" s="1588" t="s">
        <v>5</v>
      </c>
      <c r="D1779" s="1588" t="s">
        <v>6</v>
      </c>
      <c r="E1779" s="1588" t="s">
        <v>7</v>
      </c>
      <c r="F1779" s="76" t="s">
        <v>8</v>
      </c>
      <c r="G1779" s="76" t="s">
        <v>9</v>
      </c>
      <c r="H1779" s="77" t="s">
        <v>10</v>
      </c>
    </row>
    <row r="1780" spans="1:8">
      <c r="A1780" s="1587"/>
      <c r="B1780" s="1589"/>
      <c r="C1780" s="1589"/>
      <c r="D1780" s="1589"/>
      <c r="E1780" s="1589"/>
      <c r="F1780" s="78" t="s">
        <v>11</v>
      </c>
      <c r="G1780" s="78" t="s">
        <v>11</v>
      </c>
      <c r="H1780" s="79" t="s">
        <v>11</v>
      </c>
    </row>
    <row r="1781" spans="1:8">
      <c r="A1781" s="200" t="s">
        <v>12</v>
      </c>
      <c r="B1781" s="201" t="s">
        <v>332</v>
      </c>
      <c r="C1781" s="202"/>
      <c r="D1781" s="203"/>
      <c r="E1781" s="203"/>
      <c r="F1781" s="204"/>
      <c r="G1781" s="205"/>
      <c r="H1781" s="206"/>
    </row>
    <row r="1782" spans="1:8">
      <c r="A1782" s="210"/>
      <c r="B1782" s="204" t="s">
        <v>333</v>
      </c>
      <c r="C1782" s="211">
        <v>1</v>
      </c>
      <c r="D1782" s="212" t="s">
        <v>334</v>
      </c>
      <c r="E1782" s="203" t="s">
        <v>16</v>
      </c>
      <c r="F1782" s="213">
        <v>11157802.65</v>
      </c>
      <c r="G1782" s="205">
        <f>F1782*C1782</f>
        <v>11157802.65</v>
      </c>
      <c r="H1782" s="206"/>
    </row>
    <row r="1783" spans="1:8">
      <c r="A1783" s="210"/>
      <c r="B1783" s="204" t="s">
        <v>335</v>
      </c>
      <c r="C1783" s="211"/>
      <c r="D1783" s="203"/>
      <c r="E1783" s="203"/>
      <c r="F1783" s="213"/>
      <c r="G1783" s="205"/>
      <c r="H1783" s="206"/>
    </row>
    <row r="1784" spans="1:8">
      <c r="A1784" s="210"/>
      <c r="B1784" s="204"/>
      <c r="C1784" s="211"/>
      <c r="D1784" s="203"/>
      <c r="E1784" s="203"/>
      <c r="F1784" s="213"/>
      <c r="G1784" s="205"/>
      <c r="H1784" s="206"/>
    </row>
    <row r="1785" spans="1:8">
      <c r="A1785" s="200" t="s">
        <v>18</v>
      </c>
      <c r="B1785" s="201" t="s">
        <v>336</v>
      </c>
      <c r="C1785" s="211"/>
      <c r="D1785" s="203"/>
      <c r="E1785" s="203"/>
      <c r="F1785" s="213"/>
      <c r="G1785" s="205"/>
      <c r="H1785" s="206"/>
    </row>
    <row r="1786" spans="1:8">
      <c r="A1786" s="210"/>
      <c r="B1786" s="204" t="s">
        <v>337</v>
      </c>
      <c r="C1786" s="211">
        <v>47.1</v>
      </c>
      <c r="D1786" s="212" t="s">
        <v>296</v>
      </c>
      <c r="E1786" s="203" t="s">
        <v>269</v>
      </c>
      <c r="F1786" s="213">
        <v>8045.8</v>
      </c>
      <c r="G1786" s="205">
        <f>F1786*C1786</f>
        <v>378957.18</v>
      </c>
      <c r="H1786" s="206"/>
    </row>
    <row r="1787" spans="1:8">
      <c r="A1787" s="210"/>
      <c r="B1787" s="204" t="s">
        <v>338</v>
      </c>
      <c r="C1787" s="211"/>
      <c r="D1787" s="203"/>
      <c r="E1787" s="203"/>
      <c r="F1787" s="213"/>
      <c r="G1787" s="205"/>
      <c r="H1787" s="206"/>
    </row>
    <row r="1788" spans="1:8">
      <c r="A1788" s="210"/>
      <c r="B1788" s="204" t="s">
        <v>339</v>
      </c>
      <c r="C1788" s="211">
        <v>47.1</v>
      </c>
      <c r="D1788" s="212" t="s">
        <v>296</v>
      </c>
      <c r="E1788" s="203" t="s">
        <v>217</v>
      </c>
      <c r="F1788" s="213">
        <v>43415.93</v>
      </c>
      <c r="G1788" s="205">
        <f>F1788*C1788</f>
        <v>2044890.3030000001</v>
      </c>
      <c r="H1788" s="206"/>
    </row>
    <row r="1789" spans="1:8">
      <c r="A1789" s="210"/>
      <c r="B1789" s="204" t="s">
        <v>340</v>
      </c>
      <c r="C1789" s="211"/>
      <c r="D1789" s="203"/>
      <c r="E1789" s="203"/>
      <c r="F1789" s="213"/>
      <c r="G1789" s="205"/>
      <c r="H1789" s="206"/>
    </row>
    <row r="1790" spans="1:8">
      <c r="A1790" s="210"/>
      <c r="B1790" s="204"/>
      <c r="C1790" s="211"/>
      <c r="D1790" s="203"/>
      <c r="E1790" s="203"/>
      <c r="F1790" s="213"/>
      <c r="G1790" s="205"/>
      <c r="H1790" s="206"/>
    </row>
    <row r="1791" spans="1:8" ht="12.6" thickBot="1">
      <c r="A1791" s="210"/>
      <c r="B1791" s="204"/>
      <c r="C1791" s="211"/>
      <c r="D1791" s="203"/>
      <c r="E1791" s="203"/>
      <c r="F1791" s="213"/>
      <c r="G1791" s="205"/>
      <c r="H1791" s="206"/>
    </row>
    <row r="1792" spans="1:8">
      <c r="A1792" s="108"/>
      <c r="B1792" s="109"/>
      <c r="C1792" s="110"/>
      <c r="D1792" s="111"/>
      <c r="E1792" s="111"/>
      <c r="F1792" s="111" t="s">
        <v>25</v>
      </c>
      <c r="G1792" s="112">
        <f>SUM(G1781:G1791)</f>
        <v>13581650.132999999</v>
      </c>
      <c r="H1792" s="113">
        <f>SUM(G1792:G1793)</f>
        <v>14939815.146299999</v>
      </c>
    </row>
    <row r="1793" spans="1:8" ht="13.8">
      <c r="A1793" s="114"/>
      <c r="B1793" s="115"/>
      <c r="C1793" s="116"/>
      <c r="D1793" s="116"/>
      <c r="E1793" s="117"/>
      <c r="F1793" s="118" t="s">
        <v>26</v>
      </c>
      <c r="G1793" s="119">
        <f>G1792/10</f>
        <v>1358165.0133</v>
      </c>
      <c r="H1793" s="216"/>
    </row>
    <row r="1794" spans="1:8" ht="14.4" thickBot="1">
      <c r="A1794" s="114"/>
      <c r="B1794" s="115"/>
      <c r="C1794" s="116"/>
      <c r="D1794" s="116"/>
      <c r="E1794" s="117"/>
      <c r="F1794" s="242"/>
      <c r="G1794" s="119"/>
      <c r="H1794" s="216"/>
    </row>
    <row r="1795" spans="1:8">
      <c r="A1795" s="121" t="s">
        <v>27</v>
      </c>
      <c r="B1795" s="122"/>
      <c r="C1795" s="122"/>
      <c r="D1795" s="122"/>
      <c r="E1795" s="122"/>
      <c r="F1795" s="217"/>
      <c r="G1795" s="124" t="s">
        <v>28</v>
      </c>
      <c r="H1795" s="113">
        <f>H1792</f>
        <v>14939815.146299999</v>
      </c>
    </row>
    <row r="1796" spans="1:8" ht="12.6" thickBot="1">
      <c r="A1796" s="125"/>
      <c r="B1796" s="127" t="s">
        <v>341</v>
      </c>
      <c r="C1796" s="127"/>
      <c r="D1796" s="127"/>
      <c r="E1796" s="127"/>
      <c r="F1796" s="218"/>
      <c r="G1796" s="129" t="s">
        <v>30</v>
      </c>
      <c r="H1796" s="130">
        <f>ROUND(H1795,-2)</f>
        <v>14939800</v>
      </c>
    </row>
    <row r="1797" spans="1:8">
      <c r="A1797" s="131"/>
      <c r="B1797" s="131"/>
      <c r="C1797" s="131"/>
      <c r="D1797" s="131"/>
      <c r="E1797" s="131"/>
      <c r="F1797" s="131"/>
      <c r="G1797" s="131"/>
      <c r="H1797" s="132"/>
    </row>
    <row r="1798" spans="1:8">
      <c r="A1798" s="131"/>
      <c r="B1798" s="131"/>
      <c r="C1798" s="131"/>
      <c r="D1798" s="131"/>
      <c r="E1798" s="131"/>
      <c r="F1798" s="131"/>
      <c r="G1798" s="131"/>
      <c r="H1798" s="132"/>
    </row>
    <row r="1799" spans="1:8">
      <c r="A1799" s="6"/>
      <c r="B1799" s="6"/>
      <c r="C1799" s="6"/>
      <c r="D1799" s="6"/>
      <c r="E1799" s="6"/>
      <c r="F1799" s="6"/>
      <c r="G1799" s="1591" t="s">
        <v>342</v>
      </c>
      <c r="H1799" s="1591"/>
    </row>
    <row r="1800" spans="1:8">
      <c r="A1800" s="1591" t="s">
        <v>234</v>
      </c>
      <c r="B1800" s="1591"/>
      <c r="C1800" s="1591" t="s">
        <v>32</v>
      </c>
      <c r="D1800" s="1591"/>
      <c r="E1800" s="1591"/>
      <c r="F1800" s="6"/>
      <c r="G1800" s="1591" t="s">
        <v>33</v>
      </c>
      <c r="H1800" s="1591"/>
    </row>
    <row r="1801" spans="1:8">
      <c r="A1801" s="6"/>
      <c r="B1801" s="6"/>
      <c r="C1801" s="6"/>
      <c r="D1801" s="6"/>
      <c r="E1801" s="6"/>
      <c r="F1801" s="6"/>
      <c r="G1801" s="6"/>
      <c r="H1801" s="6"/>
    </row>
    <row r="1802" spans="1:8">
      <c r="A1802" s="6"/>
      <c r="B1802" s="6"/>
      <c r="C1802" s="6"/>
      <c r="D1802" s="6"/>
      <c r="E1802" s="6"/>
      <c r="F1802" s="6"/>
      <c r="G1802" s="6"/>
      <c r="H1802" s="6"/>
    </row>
    <row r="1803" spans="1:8">
      <c r="A1803" s="6"/>
      <c r="B1803" s="6"/>
      <c r="C1803" s="6"/>
      <c r="D1803" s="6"/>
      <c r="E1803" s="6"/>
      <c r="F1803" s="6"/>
      <c r="G1803" s="6"/>
      <c r="H1803" s="6"/>
    </row>
    <row r="1804" spans="1:8">
      <c r="A1804" s="1590" t="s">
        <v>34</v>
      </c>
      <c r="B1804" s="1590"/>
      <c r="C1804" s="1590" t="s">
        <v>35</v>
      </c>
      <c r="D1804" s="1590"/>
      <c r="E1804" s="1590"/>
      <c r="F1804" s="6"/>
      <c r="G1804" s="1590" t="s">
        <v>36</v>
      </c>
      <c r="H1804" s="1590"/>
    </row>
    <row r="1805" spans="1:8">
      <c r="A1805" s="1591" t="s">
        <v>37</v>
      </c>
      <c r="B1805" s="1591"/>
      <c r="C1805" s="1591" t="s">
        <v>38</v>
      </c>
      <c r="D1805" s="1591"/>
      <c r="E1805" s="1591"/>
      <c r="F1805" s="6"/>
      <c r="G1805" s="1591" t="s">
        <v>39</v>
      </c>
      <c r="H1805" s="1591"/>
    </row>
    <row r="1812" spans="1:8">
      <c r="A1812" s="1594" t="s">
        <v>235</v>
      </c>
      <c r="B1812" s="1594"/>
      <c r="C1812" s="1594"/>
      <c r="D1812" s="1594"/>
      <c r="E1812" s="1594"/>
      <c r="F1812" s="1594"/>
      <c r="G1812" s="1594"/>
      <c r="H1812" s="1594"/>
    </row>
    <row r="1813" spans="1:8">
      <c r="A1813" s="1594" t="s">
        <v>343</v>
      </c>
      <c r="B1813" s="1594"/>
      <c r="C1813" s="1594"/>
      <c r="D1813" s="1594"/>
      <c r="E1813" s="1594"/>
      <c r="F1813" s="1594"/>
      <c r="G1813" s="1594"/>
      <c r="H1813" s="1594"/>
    </row>
    <row r="1814" spans="1:8">
      <c r="A1814" s="1594" t="s">
        <v>259</v>
      </c>
      <c r="B1814" s="1594"/>
      <c r="C1814" s="1594"/>
      <c r="D1814" s="1594"/>
      <c r="E1814" s="1594"/>
      <c r="F1814" s="1594"/>
      <c r="G1814" s="1594"/>
      <c r="H1814" s="1594"/>
    </row>
    <row r="1815" spans="1:8">
      <c r="A1815" s="7"/>
      <c r="B1815" s="7"/>
      <c r="C1815" s="7"/>
      <c r="D1815" s="7"/>
      <c r="E1815" s="7"/>
      <c r="F1815" s="7"/>
      <c r="G1815" s="7"/>
      <c r="H1815" s="7"/>
    </row>
    <row r="1816" spans="1:8" ht="12.6" thickBot="1">
      <c r="A1816" s="7"/>
      <c r="B1816" s="7"/>
      <c r="C1816" s="7"/>
      <c r="D1816" s="7"/>
      <c r="E1816" s="7"/>
      <c r="F1816" s="7"/>
      <c r="G1816" s="7"/>
      <c r="H1816" s="7"/>
    </row>
    <row r="1817" spans="1:8">
      <c r="A1817" s="1586" t="s">
        <v>3</v>
      </c>
      <c r="B1817" s="1588" t="s">
        <v>4</v>
      </c>
      <c r="C1817" s="1588" t="s">
        <v>5</v>
      </c>
      <c r="D1817" s="1588" t="s">
        <v>6</v>
      </c>
      <c r="E1817" s="1588" t="s">
        <v>7</v>
      </c>
      <c r="F1817" s="76" t="s">
        <v>8</v>
      </c>
      <c r="G1817" s="76" t="s">
        <v>9</v>
      </c>
      <c r="H1817" s="77" t="s">
        <v>10</v>
      </c>
    </row>
    <row r="1818" spans="1:8">
      <c r="A1818" s="1587"/>
      <c r="B1818" s="1589"/>
      <c r="C1818" s="1589"/>
      <c r="D1818" s="1589"/>
      <c r="E1818" s="1589"/>
      <c r="F1818" s="243" t="s">
        <v>11</v>
      </c>
      <c r="G1818" s="243" t="s">
        <v>11</v>
      </c>
      <c r="H1818" s="244" t="s">
        <v>11</v>
      </c>
    </row>
    <row r="1819" spans="1:8">
      <c r="A1819" s="245" t="s">
        <v>12</v>
      </c>
      <c r="B1819" s="246" t="s">
        <v>19</v>
      </c>
      <c r="C1819" s="247"/>
      <c r="D1819" s="248"/>
      <c r="E1819" s="248"/>
      <c r="F1819" s="249"/>
      <c r="G1819" s="250"/>
      <c r="H1819" s="251"/>
    </row>
    <row r="1820" spans="1:8">
      <c r="A1820" s="252"/>
      <c r="B1820" s="249" t="s">
        <v>344</v>
      </c>
      <c r="C1820" s="253">
        <v>5</v>
      </c>
      <c r="D1820" s="254" t="s">
        <v>15</v>
      </c>
      <c r="E1820" s="248" t="s">
        <v>16</v>
      </c>
      <c r="F1820" s="255">
        <v>909728.15</v>
      </c>
      <c r="G1820" s="250">
        <f>F1820*C1820</f>
        <v>4548640.75</v>
      </c>
      <c r="H1820" s="251"/>
    </row>
    <row r="1821" spans="1:8">
      <c r="A1821" s="252"/>
      <c r="B1821" s="256" t="s">
        <v>345</v>
      </c>
      <c r="C1821" s="253"/>
      <c r="D1821" s="248"/>
      <c r="E1821" s="248"/>
      <c r="F1821" s="255"/>
      <c r="G1821" s="250"/>
      <c r="H1821" s="251"/>
    </row>
    <row r="1822" spans="1:8">
      <c r="A1822" s="252"/>
      <c r="B1822" s="256" t="s">
        <v>346</v>
      </c>
      <c r="C1822" s="253"/>
      <c r="D1822" s="248"/>
      <c r="E1822" s="248"/>
      <c r="F1822" s="255"/>
      <c r="G1822" s="250"/>
      <c r="H1822" s="251"/>
    </row>
    <row r="1823" spans="1:8">
      <c r="A1823" s="252"/>
      <c r="B1823" s="256" t="s">
        <v>347</v>
      </c>
      <c r="C1823" s="253"/>
      <c r="D1823" s="248"/>
      <c r="E1823" s="248"/>
      <c r="F1823" s="255"/>
      <c r="G1823" s="250"/>
      <c r="H1823" s="251"/>
    </row>
    <row r="1824" spans="1:8">
      <c r="A1824" s="252"/>
      <c r="B1824" s="256" t="s">
        <v>348</v>
      </c>
      <c r="C1824" s="253">
        <v>1</v>
      </c>
      <c r="D1824" s="254" t="s">
        <v>15</v>
      </c>
      <c r="E1824" s="248" t="s">
        <v>16</v>
      </c>
      <c r="F1824" s="255">
        <v>1048583.5</v>
      </c>
      <c r="G1824" s="250">
        <f>F1824*C1824</f>
        <v>1048583.5</v>
      </c>
      <c r="H1824" s="251"/>
    </row>
    <row r="1825" spans="1:8">
      <c r="A1825" s="252"/>
      <c r="B1825" s="256" t="s">
        <v>349</v>
      </c>
      <c r="C1825" s="253"/>
      <c r="D1825" s="248"/>
      <c r="E1825" s="248"/>
      <c r="F1825" s="255"/>
      <c r="G1825" s="250"/>
      <c r="H1825" s="251"/>
    </row>
    <row r="1826" spans="1:8">
      <c r="A1826" s="252"/>
      <c r="B1826" s="256" t="s">
        <v>346</v>
      </c>
      <c r="C1826" s="253"/>
      <c r="D1826" s="248"/>
      <c r="E1826" s="248"/>
      <c r="F1826" s="255"/>
      <c r="G1826" s="250"/>
      <c r="H1826" s="251"/>
    </row>
    <row r="1827" spans="1:8">
      <c r="A1827" s="252"/>
      <c r="B1827" s="256" t="s">
        <v>347</v>
      </c>
      <c r="C1827" s="253"/>
      <c r="D1827" s="248"/>
      <c r="E1827" s="248"/>
      <c r="F1827" s="255"/>
      <c r="G1827" s="250"/>
      <c r="H1827" s="251"/>
    </row>
    <row r="1828" spans="1:8">
      <c r="A1828" s="252"/>
      <c r="B1828" s="256" t="s">
        <v>350</v>
      </c>
      <c r="C1828" s="253">
        <v>1</v>
      </c>
      <c r="D1828" s="248" t="s">
        <v>21</v>
      </c>
      <c r="E1828" s="248" t="s">
        <v>16</v>
      </c>
      <c r="F1828" s="255">
        <v>5650000</v>
      </c>
      <c r="G1828" s="250">
        <f>F1828*C1828</f>
        <v>5650000</v>
      </c>
      <c r="H1828" s="251"/>
    </row>
    <row r="1829" spans="1:8">
      <c r="A1829" s="252"/>
      <c r="B1829" s="256" t="s">
        <v>351</v>
      </c>
      <c r="C1829" s="253"/>
      <c r="D1829" s="248"/>
      <c r="E1829" s="248"/>
      <c r="F1829" s="255"/>
      <c r="G1829" s="250"/>
      <c r="H1829" s="251"/>
    </row>
    <row r="1830" spans="1:8">
      <c r="A1830" s="252"/>
      <c r="B1830" s="256" t="s">
        <v>352</v>
      </c>
      <c r="C1830" s="253"/>
      <c r="D1830" s="248"/>
      <c r="E1830" s="248"/>
      <c r="F1830" s="255"/>
      <c r="G1830" s="250"/>
      <c r="H1830" s="251"/>
    </row>
    <row r="1831" spans="1:8">
      <c r="A1831" s="252"/>
      <c r="B1831" s="256" t="s">
        <v>353</v>
      </c>
      <c r="C1831" s="253">
        <v>131.08000000000001</v>
      </c>
      <c r="D1831" s="248" t="s">
        <v>296</v>
      </c>
      <c r="E1831" s="248" t="s">
        <v>354</v>
      </c>
      <c r="F1831" s="255">
        <v>23009.8</v>
      </c>
      <c r="G1831" s="250">
        <f>F1831*C1831</f>
        <v>3016124.5840000003</v>
      </c>
      <c r="H1831" s="251"/>
    </row>
    <row r="1832" spans="1:8">
      <c r="A1832" s="252"/>
      <c r="B1832" s="256" t="s">
        <v>355</v>
      </c>
      <c r="C1832" s="253"/>
      <c r="D1832" s="248"/>
      <c r="E1832" s="248"/>
      <c r="F1832" s="255"/>
      <c r="G1832" s="250"/>
      <c r="H1832" s="251"/>
    </row>
    <row r="1833" spans="1:8">
      <c r="A1833" s="252"/>
      <c r="B1833" s="256" t="s">
        <v>356</v>
      </c>
      <c r="C1833" s="253">
        <v>1</v>
      </c>
      <c r="D1833" s="248" t="s">
        <v>15</v>
      </c>
      <c r="E1833" s="248" t="s">
        <v>16</v>
      </c>
      <c r="F1833" s="255">
        <v>695000</v>
      </c>
      <c r="G1833" s="250">
        <f>F1833*C1833</f>
        <v>695000</v>
      </c>
      <c r="H1833" s="251"/>
    </row>
    <row r="1834" spans="1:8">
      <c r="A1834" s="252"/>
      <c r="B1834" s="256" t="s">
        <v>357</v>
      </c>
      <c r="C1834" s="253"/>
      <c r="D1834" s="248"/>
      <c r="E1834" s="248"/>
      <c r="F1834" s="255"/>
      <c r="G1834" s="250"/>
      <c r="H1834" s="251"/>
    </row>
    <row r="1835" spans="1:8">
      <c r="A1835" s="252"/>
      <c r="B1835" s="256" t="s">
        <v>352</v>
      </c>
      <c r="C1835" s="253"/>
      <c r="D1835" s="248"/>
      <c r="E1835" s="248"/>
      <c r="F1835" s="255"/>
      <c r="G1835" s="250"/>
      <c r="H1835" s="251"/>
    </row>
    <row r="1836" spans="1:8">
      <c r="A1836" s="252"/>
      <c r="B1836" s="256"/>
      <c r="C1836" s="253"/>
      <c r="D1836" s="248"/>
      <c r="E1836" s="248"/>
      <c r="F1836" s="255"/>
      <c r="G1836" s="250"/>
      <c r="H1836" s="251"/>
    </row>
    <row r="1837" spans="1:8">
      <c r="A1837" s="252"/>
      <c r="B1837" s="256" t="s">
        <v>358</v>
      </c>
      <c r="C1837" s="253">
        <v>1</v>
      </c>
      <c r="D1837" s="248" t="s">
        <v>15</v>
      </c>
      <c r="E1837" s="248" t="s">
        <v>16</v>
      </c>
      <c r="F1837" s="255">
        <v>630000</v>
      </c>
      <c r="G1837" s="250">
        <f>F1837*C1837</f>
        <v>630000</v>
      </c>
      <c r="H1837" s="251"/>
    </row>
    <row r="1838" spans="1:8">
      <c r="A1838" s="252"/>
      <c r="B1838" s="256" t="s">
        <v>359</v>
      </c>
      <c r="C1838" s="253"/>
      <c r="D1838" s="248"/>
      <c r="E1838" s="248"/>
      <c r="F1838" s="255"/>
      <c r="G1838" s="250"/>
      <c r="H1838" s="251"/>
    </row>
    <row r="1839" spans="1:8">
      <c r="A1839" s="252"/>
      <c r="B1839" s="256" t="s">
        <v>360</v>
      </c>
      <c r="C1839" s="253"/>
      <c r="D1839" s="248"/>
      <c r="E1839" s="248"/>
      <c r="F1839" s="255"/>
      <c r="G1839" s="250"/>
      <c r="H1839" s="251"/>
    </row>
    <row r="1840" spans="1:8" ht="12.6" thickBot="1">
      <c r="A1840" s="252"/>
      <c r="B1840" s="256"/>
      <c r="C1840" s="253"/>
      <c r="D1840" s="248"/>
      <c r="E1840" s="248"/>
      <c r="F1840" s="255"/>
      <c r="G1840" s="250"/>
      <c r="H1840" s="251"/>
    </row>
    <row r="1841" spans="1:8">
      <c r="A1841" s="257"/>
      <c r="B1841" s="258"/>
      <c r="C1841" s="259"/>
      <c r="D1841" s="1612" t="s">
        <v>25</v>
      </c>
      <c r="E1841" s="1612"/>
      <c r="F1841" s="1613"/>
      <c r="G1841" s="260">
        <f>SUM(G1819:G1840)</f>
        <v>15588348.834000001</v>
      </c>
      <c r="H1841" s="261">
        <f>SUM(G1841:G1842)</f>
        <v>17147183.717399999</v>
      </c>
    </row>
    <row r="1842" spans="1:8" ht="13.8">
      <c r="A1842" s="262"/>
      <c r="B1842" s="263"/>
      <c r="C1842" s="264"/>
      <c r="D1842" s="264"/>
      <c r="E1842" s="265"/>
      <c r="F1842" s="242" t="s">
        <v>26</v>
      </c>
      <c r="G1842" s="266">
        <f>G1841/10</f>
        <v>1558834.8834000002</v>
      </c>
      <c r="H1842" s="267"/>
    </row>
    <row r="1843" spans="1:8" ht="14.4" thickBot="1">
      <c r="A1843" s="262"/>
      <c r="B1843" s="263"/>
      <c r="C1843" s="264"/>
      <c r="D1843" s="264"/>
      <c r="E1843" s="265"/>
      <c r="F1843" s="242"/>
      <c r="G1843" s="266"/>
      <c r="H1843" s="267"/>
    </row>
    <row r="1844" spans="1:8">
      <c r="A1844" s="121" t="s">
        <v>27</v>
      </c>
      <c r="B1844" s="122"/>
      <c r="C1844" s="122"/>
      <c r="D1844" s="122"/>
      <c r="E1844" s="122"/>
      <c r="F1844" s="217"/>
      <c r="G1844" s="268" t="s">
        <v>28</v>
      </c>
      <c r="H1844" s="261">
        <f>H1841</f>
        <v>17147183.717399999</v>
      </c>
    </row>
    <row r="1845" spans="1:8" ht="12.6" thickBot="1">
      <c r="A1845" s="125"/>
      <c r="B1845" s="1614" t="s">
        <v>361</v>
      </c>
      <c r="C1845" s="1614"/>
      <c r="D1845" s="1614"/>
      <c r="E1845" s="1614"/>
      <c r="F1845" s="218"/>
      <c r="G1845" s="269" t="s">
        <v>30</v>
      </c>
      <c r="H1845" s="270">
        <f>ROUND(H1844,-2)</f>
        <v>17147200</v>
      </c>
    </row>
    <row r="1846" spans="1:8">
      <c r="A1846" s="131"/>
      <c r="B1846" s="131"/>
      <c r="C1846" s="131"/>
      <c r="D1846" s="131"/>
      <c r="E1846" s="131"/>
      <c r="F1846" s="131"/>
      <c r="G1846" s="131"/>
      <c r="H1846" s="132"/>
    </row>
    <row r="1847" spans="1:8">
      <c r="A1847" s="131"/>
      <c r="B1847" s="131"/>
      <c r="C1847" s="131"/>
      <c r="D1847" s="131"/>
      <c r="E1847" s="131"/>
      <c r="F1847" s="131"/>
      <c r="G1847" s="131"/>
      <c r="H1847" s="132"/>
    </row>
    <row r="1848" spans="1:8">
      <c r="A1848" s="6"/>
      <c r="B1848" s="6"/>
      <c r="C1848" s="6"/>
      <c r="D1848" s="6"/>
      <c r="E1848" s="6"/>
      <c r="F1848" s="6"/>
      <c r="G1848" s="1591" t="s">
        <v>362</v>
      </c>
      <c r="H1848" s="1591"/>
    </row>
    <row r="1849" spans="1:8">
      <c r="A1849" s="1591" t="s">
        <v>234</v>
      </c>
      <c r="B1849" s="1591"/>
      <c r="C1849" s="1591" t="s">
        <v>32</v>
      </c>
      <c r="D1849" s="1591"/>
      <c r="E1849" s="1591"/>
      <c r="F1849" s="6"/>
      <c r="G1849" s="1591" t="s">
        <v>33</v>
      </c>
      <c r="H1849" s="1591"/>
    </row>
    <row r="1850" spans="1:8">
      <c r="A1850" s="6"/>
      <c r="B1850" s="6"/>
      <c r="C1850" s="6"/>
      <c r="D1850" s="6"/>
      <c r="E1850" s="6"/>
      <c r="F1850" s="6"/>
      <c r="G1850" s="6"/>
      <c r="H1850" s="6"/>
    </row>
    <row r="1851" spans="1:8">
      <c r="A1851" s="6"/>
      <c r="B1851" s="6"/>
      <c r="C1851" s="6"/>
      <c r="D1851" s="6"/>
      <c r="E1851" s="6"/>
      <c r="F1851" s="6"/>
      <c r="G1851" s="6"/>
      <c r="H1851" s="6"/>
    </row>
    <row r="1852" spans="1:8">
      <c r="A1852" s="6"/>
      <c r="B1852" s="6"/>
      <c r="C1852" s="6"/>
      <c r="D1852" s="6"/>
      <c r="E1852" s="6"/>
      <c r="F1852" s="6"/>
      <c r="G1852" s="6"/>
      <c r="H1852" s="6"/>
    </row>
    <row r="1853" spans="1:8">
      <c r="A1853" s="1590" t="s">
        <v>34</v>
      </c>
      <c r="B1853" s="1590"/>
      <c r="C1853" s="1590" t="s">
        <v>35</v>
      </c>
      <c r="D1853" s="1590"/>
      <c r="E1853" s="1590"/>
      <c r="F1853" s="6"/>
      <c r="G1853" s="1590" t="s">
        <v>36</v>
      </c>
      <c r="H1853" s="1590"/>
    </row>
    <row r="1854" spans="1:8">
      <c r="A1854" s="1591" t="s">
        <v>37</v>
      </c>
      <c r="B1854" s="1591"/>
      <c r="C1854" s="1591" t="s">
        <v>38</v>
      </c>
      <c r="D1854" s="1591"/>
      <c r="E1854" s="1591"/>
      <c r="F1854" s="6"/>
      <c r="G1854" s="1591" t="s">
        <v>39</v>
      </c>
      <c r="H1854" s="1591"/>
    </row>
    <row r="1862" spans="1:8">
      <c r="A1862" s="1594" t="s">
        <v>235</v>
      </c>
      <c r="B1862" s="1594"/>
      <c r="C1862" s="1594"/>
      <c r="D1862" s="1594"/>
      <c r="E1862" s="1594"/>
      <c r="F1862" s="1594"/>
      <c r="G1862" s="1594"/>
      <c r="H1862" s="1594"/>
    </row>
    <row r="1863" spans="1:8">
      <c r="A1863" s="1594" t="s">
        <v>363</v>
      </c>
      <c r="B1863" s="1594"/>
      <c r="C1863" s="1594"/>
      <c r="D1863" s="1594"/>
      <c r="E1863" s="1594"/>
      <c r="F1863" s="1594"/>
      <c r="G1863" s="1594"/>
      <c r="H1863" s="1594"/>
    </row>
    <row r="1864" spans="1:8">
      <c r="A1864" s="1594" t="s">
        <v>259</v>
      </c>
      <c r="B1864" s="1594"/>
      <c r="C1864" s="1594"/>
      <c r="D1864" s="1594"/>
      <c r="E1864" s="1594"/>
      <c r="F1864" s="1594"/>
      <c r="G1864" s="1594"/>
      <c r="H1864" s="1594"/>
    </row>
    <row r="1865" spans="1:8">
      <c r="A1865" s="7"/>
      <c r="B1865" s="7"/>
      <c r="C1865" s="7"/>
      <c r="D1865" s="7"/>
      <c r="E1865" s="7"/>
      <c r="F1865" s="7"/>
      <c r="G1865" s="7"/>
      <c r="H1865" s="7"/>
    </row>
    <row r="1866" spans="1:8">
      <c r="A1866" s="7"/>
      <c r="B1866" s="7"/>
      <c r="C1866" s="7"/>
      <c r="D1866" s="7"/>
      <c r="E1866" s="7"/>
      <c r="F1866" s="7"/>
      <c r="G1866" s="7"/>
      <c r="H1866" s="7"/>
    </row>
    <row r="1867" spans="1:8">
      <c r="A1867" s="1599" t="s">
        <v>3</v>
      </c>
      <c r="B1867" s="1599" t="s">
        <v>4</v>
      </c>
      <c r="C1867" s="1599" t="s">
        <v>5</v>
      </c>
      <c r="D1867" s="1599" t="s">
        <v>6</v>
      </c>
      <c r="E1867" s="1599" t="s">
        <v>7</v>
      </c>
      <c r="F1867" s="271" t="s">
        <v>8</v>
      </c>
      <c r="G1867" s="271" t="s">
        <v>9</v>
      </c>
      <c r="H1867" s="271" t="s">
        <v>10</v>
      </c>
    </row>
    <row r="1868" spans="1:8">
      <c r="A1868" s="1589"/>
      <c r="B1868" s="1589"/>
      <c r="C1868" s="1589"/>
      <c r="D1868" s="1589"/>
      <c r="E1868" s="1589"/>
      <c r="F1868" s="243" t="s">
        <v>11</v>
      </c>
      <c r="G1868" s="243" t="s">
        <v>11</v>
      </c>
      <c r="H1868" s="243" t="s">
        <v>11</v>
      </c>
    </row>
    <row r="1869" spans="1:8">
      <c r="A1869" s="271" t="s">
        <v>12</v>
      </c>
      <c r="B1869" s="272" t="s">
        <v>364</v>
      </c>
      <c r="C1869" s="273"/>
      <c r="D1869" s="274"/>
      <c r="E1869" s="274"/>
      <c r="F1869" s="274"/>
      <c r="G1869" s="275"/>
      <c r="H1869" s="276"/>
    </row>
    <row r="1870" spans="1:8">
      <c r="A1870" s="256"/>
      <c r="B1870" s="249" t="s">
        <v>365</v>
      </c>
      <c r="C1870" s="277">
        <v>1</v>
      </c>
      <c r="D1870" s="248" t="s">
        <v>15</v>
      </c>
      <c r="E1870" s="248" t="s">
        <v>126</v>
      </c>
      <c r="F1870" s="278">
        <v>0</v>
      </c>
      <c r="G1870" s="278">
        <f>F1870*C1870</f>
        <v>0</v>
      </c>
      <c r="H1870" s="1600" t="s">
        <v>366</v>
      </c>
    </row>
    <row r="1871" spans="1:8">
      <c r="A1871" s="256"/>
      <c r="B1871" s="249" t="s">
        <v>367</v>
      </c>
      <c r="C1871" s="277">
        <v>1</v>
      </c>
      <c r="D1871" s="248" t="s">
        <v>47</v>
      </c>
      <c r="E1871" s="248" t="s">
        <v>126</v>
      </c>
      <c r="F1871" s="278">
        <v>0</v>
      </c>
      <c r="G1871" s="278">
        <f>F1871*C1871</f>
        <v>0</v>
      </c>
      <c r="H1871" s="1600"/>
    </row>
    <row r="1872" spans="1:8">
      <c r="A1872" s="256"/>
      <c r="B1872" s="249"/>
      <c r="C1872" s="247"/>
      <c r="D1872" s="248"/>
      <c r="E1872" s="248"/>
      <c r="F1872" s="278"/>
      <c r="G1872" s="278"/>
      <c r="H1872" s="279"/>
    </row>
    <row r="1873" spans="1:8">
      <c r="A1873" s="280"/>
      <c r="B1873" s="281"/>
      <c r="C1873" s="282"/>
      <c r="D1873" s="283" t="s">
        <v>368</v>
      </c>
      <c r="E1873" s="284"/>
      <c r="F1873" s="281"/>
      <c r="G1873" s="285"/>
      <c r="H1873" s="276">
        <f>SUM(G1870:G1872)</f>
        <v>0</v>
      </c>
    </row>
    <row r="1874" spans="1:8">
      <c r="A1874" s="286"/>
      <c r="B1874" s="287"/>
      <c r="C1874" s="288"/>
      <c r="D1874" s="289"/>
      <c r="E1874" s="289"/>
      <c r="F1874" s="287"/>
      <c r="G1874" s="290"/>
      <c r="H1874" s="291"/>
    </row>
    <row r="1875" spans="1:8">
      <c r="A1875" s="292" t="s">
        <v>18</v>
      </c>
      <c r="B1875" s="246" t="s">
        <v>369</v>
      </c>
      <c r="C1875" s="247"/>
      <c r="D1875" s="248"/>
      <c r="E1875" s="248"/>
      <c r="F1875" s="249"/>
      <c r="G1875" s="250"/>
      <c r="H1875" s="255"/>
    </row>
    <row r="1876" spans="1:8">
      <c r="A1876" s="293"/>
      <c r="B1876" s="249" t="s">
        <v>370</v>
      </c>
      <c r="C1876" s="277">
        <v>1</v>
      </c>
      <c r="D1876" s="254" t="s">
        <v>15</v>
      </c>
      <c r="E1876" s="248" t="s">
        <v>16</v>
      </c>
      <c r="F1876" s="255">
        <v>1445499</v>
      </c>
      <c r="G1876" s="250">
        <f>F1876*C1876</f>
        <v>1445499</v>
      </c>
      <c r="H1876" s="255"/>
    </row>
    <row r="1877" spans="1:8">
      <c r="A1877" s="293"/>
      <c r="B1877" s="256" t="s">
        <v>371</v>
      </c>
      <c r="C1877" s="277">
        <v>1</v>
      </c>
      <c r="D1877" s="248" t="s">
        <v>15</v>
      </c>
      <c r="E1877" s="248" t="s">
        <v>16</v>
      </c>
      <c r="F1877" s="250">
        <v>443813</v>
      </c>
      <c r="G1877" s="250">
        <f>F1877*C1877</f>
        <v>443813</v>
      </c>
      <c r="H1877" s="255"/>
    </row>
    <row r="1878" spans="1:8">
      <c r="A1878" s="293"/>
      <c r="B1878" s="256" t="s">
        <v>372</v>
      </c>
      <c r="C1878" s="277">
        <v>1</v>
      </c>
      <c r="D1878" s="248" t="s">
        <v>373</v>
      </c>
      <c r="E1878" s="248" t="s">
        <v>51</v>
      </c>
      <c r="F1878" s="255">
        <v>250000</v>
      </c>
      <c r="G1878" s="250">
        <f>F1878*C1878</f>
        <v>250000</v>
      </c>
      <c r="H1878" s="255"/>
    </row>
    <row r="1879" spans="1:8">
      <c r="A1879" s="293"/>
      <c r="B1879" s="256"/>
      <c r="C1879" s="294"/>
      <c r="D1879" s="248"/>
      <c r="E1879" s="248"/>
      <c r="F1879" s="255"/>
      <c r="G1879" s="250"/>
      <c r="H1879" s="255"/>
    </row>
    <row r="1880" spans="1:8">
      <c r="A1880" s="293"/>
      <c r="B1880" s="256"/>
      <c r="C1880" s="294"/>
      <c r="D1880" s="248"/>
      <c r="E1880" s="248"/>
      <c r="F1880" s="250"/>
      <c r="G1880" s="250"/>
      <c r="H1880" s="255">
        <f>SUM(G1875:G1878)</f>
        <v>2139312</v>
      </c>
    </row>
    <row r="1881" spans="1:8">
      <c r="A1881" s="293"/>
      <c r="B1881" s="256"/>
      <c r="C1881" s="250"/>
      <c r="D1881" s="248"/>
      <c r="E1881" s="248"/>
      <c r="F1881" s="250"/>
      <c r="G1881" s="250"/>
      <c r="H1881" s="255"/>
    </row>
    <row r="1882" spans="1:8">
      <c r="A1882" s="293"/>
      <c r="B1882" s="256"/>
      <c r="C1882" s="250"/>
      <c r="D1882" s="248"/>
      <c r="E1882" s="248"/>
      <c r="F1882" s="250"/>
      <c r="G1882" s="250"/>
      <c r="H1882" s="255"/>
    </row>
    <row r="1883" spans="1:8">
      <c r="A1883" s="295"/>
      <c r="B1883" s="281"/>
      <c r="C1883" s="296"/>
      <c r="D1883" s="297" t="s">
        <v>25</v>
      </c>
      <c r="E1883" s="284"/>
      <c r="F1883" s="296"/>
      <c r="G1883" s="298"/>
      <c r="H1883" s="275">
        <f>SUM(H1875:H1881)</f>
        <v>2139312</v>
      </c>
    </row>
    <row r="1884" spans="1:8">
      <c r="A1884" s="299"/>
      <c r="B1884" s="300"/>
      <c r="C1884" s="288"/>
      <c r="D1884" s="288"/>
      <c r="E1884" s="289"/>
      <c r="F1884" s="301"/>
      <c r="G1884" s="302"/>
      <c r="H1884" s="303"/>
    </row>
    <row r="1885" spans="1:8">
      <c r="A1885" s="304" t="s">
        <v>27</v>
      </c>
      <c r="B1885" s="305"/>
      <c r="C1885" s="305"/>
      <c r="D1885" s="305"/>
      <c r="E1885" s="305"/>
      <c r="F1885" s="306"/>
      <c r="G1885" s="274" t="s">
        <v>28</v>
      </c>
      <c r="H1885" s="275">
        <f>H1873+H1883</f>
        <v>2139312</v>
      </c>
    </row>
    <row r="1886" spans="1:8">
      <c r="A1886" s="307"/>
      <c r="B1886" s="308" t="s">
        <v>374</v>
      </c>
      <c r="C1886" s="309"/>
      <c r="D1886" s="309"/>
      <c r="E1886" s="309"/>
      <c r="F1886" s="310"/>
      <c r="G1886" s="311" t="s">
        <v>30</v>
      </c>
      <c r="H1886" s="312">
        <f>ROUND(H1885,-3)</f>
        <v>2139000</v>
      </c>
    </row>
    <row r="1887" spans="1:8">
      <c r="A1887" s="131"/>
      <c r="B1887" s="131"/>
      <c r="C1887" s="131"/>
      <c r="D1887" s="131"/>
      <c r="E1887" s="131"/>
      <c r="F1887" s="131"/>
      <c r="G1887" s="131"/>
      <c r="H1887" s="132"/>
    </row>
    <row r="1888" spans="1:8">
      <c r="A1888" s="131"/>
      <c r="B1888" s="131"/>
      <c r="C1888" s="131"/>
      <c r="D1888" s="131"/>
      <c r="E1888" s="131"/>
      <c r="F1888" s="131"/>
      <c r="G1888" s="131"/>
      <c r="H1888" s="132"/>
    </row>
    <row r="1889" spans="1:8">
      <c r="A1889" s="6"/>
      <c r="B1889" s="6"/>
      <c r="C1889" s="6"/>
      <c r="D1889" s="6"/>
      <c r="E1889" s="6"/>
      <c r="F1889" s="6"/>
      <c r="G1889" s="1591" t="s">
        <v>375</v>
      </c>
      <c r="H1889" s="1591"/>
    </row>
    <row r="1890" spans="1:8">
      <c r="A1890" s="1591" t="s">
        <v>234</v>
      </c>
      <c r="B1890" s="1591"/>
      <c r="C1890" s="1591" t="s">
        <v>32</v>
      </c>
      <c r="D1890" s="1591"/>
      <c r="E1890" s="1591"/>
      <c r="F1890" s="6"/>
      <c r="G1890" s="1591" t="s">
        <v>33</v>
      </c>
      <c r="H1890" s="1591"/>
    </row>
    <row r="1891" spans="1:8">
      <c r="A1891" s="6"/>
      <c r="B1891" s="6"/>
      <c r="C1891" s="6"/>
      <c r="D1891" s="6"/>
      <c r="E1891" s="6"/>
      <c r="F1891" s="6"/>
      <c r="G1891" s="6"/>
      <c r="H1891" s="6"/>
    </row>
    <row r="1892" spans="1:8">
      <c r="A1892" s="6"/>
      <c r="B1892" s="6"/>
      <c r="C1892" s="6"/>
      <c r="D1892" s="6"/>
      <c r="E1892" s="6"/>
      <c r="F1892" s="6"/>
      <c r="G1892" s="6"/>
      <c r="H1892" s="6"/>
    </row>
    <row r="1893" spans="1:8">
      <c r="A1893" s="6"/>
      <c r="B1893" s="6"/>
      <c r="C1893" s="6"/>
      <c r="D1893" s="6"/>
      <c r="E1893" s="6"/>
      <c r="F1893" s="6"/>
      <c r="G1893" s="6"/>
      <c r="H1893" s="6"/>
    </row>
    <row r="1894" spans="1:8">
      <c r="A1894" s="1590" t="s">
        <v>34</v>
      </c>
      <c r="B1894" s="1590"/>
      <c r="C1894" s="1590" t="s">
        <v>35</v>
      </c>
      <c r="D1894" s="1590"/>
      <c r="E1894" s="1590"/>
      <c r="F1894" s="6"/>
      <c r="G1894" s="1590" t="s">
        <v>36</v>
      </c>
      <c r="H1894" s="1590"/>
    </row>
    <row r="1895" spans="1:8">
      <c r="A1895" s="1591" t="s">
        <v>37</v>
      </c>
      <c r="B1895" s="1591"/>
      <c r="C1895" s="1591" t="s">
        <v>38</v>
      </c>
      <c r="D1895" s="1591"/>
      <c r="E1895" s="1591"/>
      <c r="F1895" s="6"/>
      <c r="G1895" s="1591" t="s">
        <v>39</v>
      </c>
      <c r="H1895" s="1591"/>
    </row>
    <row r="1902" spans="1:8">
      <c r="A1902" s="1594" t="s">
        <v>235</v>
      </c>
      <c r="B1902" s="1591"/>
      <c r="C1902" s="1591"/>
      <c r="D1902" s="1591"/>
      <c r="E1902" s="1591"/>
      <c r="F1902" s="1591"/>
      <c r="G1902" s="1591"/>
      <c r="H1902" s="1591"/>
    </row>
    <row r="1903" spans="1:8">
      <c r="A1903" s="1594" t="s">
        <v>376</v>
      </c>
      <c r="B1903" s="1594"/>
      <c r="C1903" s="1594"/>
      <c r="D1903" s="1594"/>
      <c r="E1903" s="1594"/>
      <c r="F1903" s="1594"/>
      <c r="G1903" s="1594"/>
      <c r="H1903" s="1594"/>
    </row>
    <row r="1904" spans="1:8">
      <c r="A1904" s="1594" t="s">
        <v>377</v>
      </c>
      <c r="B1904" s="1594"/>
      <c r="C1904" s="1594"/>
      <c r="D1904" s="1594"/>
      <c r="E1904" s="1594"/>
      <c r="F1904" s="1594"/>
      <c r="G1904" s="1594"/>
      <c r="H1904" s="1594"/>
    </row>
    <row r="1905" spans="1:8">
      <c r="A1905" s="7"/>
      <c r="B1905" s="7"/>
      <c r="C1905" s="7"/>
      <c r="D1905" s="7"/>
      <c r="E1905" s="7"/>
      <c r="F1905" s="7"/>
      <c r="G1905" s="7"/>
      <c r="H1905" s="7"/>
    </row>
    <row r="1906" spans="1:8">
      <c r="A1906" s="7"/>
      <c r="B1906" s="7"/>
      <c r="C1906" s="7"/>
      <c r="D1906" s="7"/>
      <c r="E1906" s="7"/>
      <c r="F1906" s="7"/>
      <c r="G1906" s="7"/>
      <c r="H1906" s="7"/>
    </row>
    <row r="1907" spans="1:8">
      <c r="A1907" s="1599" t="s">
        <v>3</v>
      </c>
      <c r="B1907" s="1599" t="s">
        <v>4</v>
      </c>
      <c r="C1907" s="1599" t="s">
        <v>5</v>
      </c>
      <c r="D1907" s="1599" t="s">
        <v>6</v>
      </c>
      <c r="E1907" s="1599" t="s">
        <v>7</v>
      </c>
      <c r="F1907" s="271" t="s">
        <v>8</v>
      </c>
      <c r="G1907" s="271" t="s">
        <v>9</v>
      </c>
      <c r="H1907" s="271" t="s">
        <v>10</v>
      </c>
    </row>
    <row r="1908" spans="1:8">
      <c r="A1908" s="1589"/>
      <c r="B1908" s="1589"/>
      <c r="C1908" s="1589"/>
      <c r="D1908" s="1589"/>
      <c r="E1908" s="1589"/>
      <c r="F1908" s="243" t="s">
        <v>11</v>
      </c>
      <c r="G1908" s="243" t="s">
        <v>11</v>
      </c>
      <c r="H1908" s="243" t="s">
        <v>11</v>
      </c>
    </row>
    <row r="1909" spans="1:8">
      <c r="A1909" s="271" t="s">
        <v>12</v>
      </c>
      <c r="B1909" s="272" t="s">
        <v>364</v>
      </c>
      <c r="C1909" s="273"/>
      <c r="D1909" s="274"/>
      <c r="E1909" s="274"/>
      <c r="F1909" s="274"/>
      <c r="G1909" s="275"/>
      <c r="H1909" s="276"/>
    </row>
    <row r="1910" spans="1:8">
      <c r="A1910" s="256"/>
      <c r="B1910" s="249" t="s">
        <v>378</v>
      </c>
      <c r="C1910" s="313"/>
      <c r="D1910" s="248"/>
      <c r="E1910" s="248"/>
      <c r="F1910" s="278"/>
      <c r="G1910" s="278"/>
      <c r="H1910" s="279"/>
    </row>
    <row r="1911" spans="1:8">
      <c r="A1911" s="256"/>
      <c r="B1911" s="249" t="s">
        <v>379</v>
      </c>
      <c r="C1911" s="313">
        <v>1</v>
      </c>
      <c r="D1911" s="248" t="s">
        <v>15</v>
      </c>
      <c r="E1911" s="248" t="s">
        <v>126</v>
      </c>
      <c r="F1911" s="278">
        <v>0</v>
      </c>
      <c r="G1911" s="278">
        <f>F1911*C1911</f>
        <v>0</v>
      </c>
      <c r="H1911" s="279"/>
    </row>
    <row r="1912" spans="1:8">
      <c r="A1912" s="256"/>
      <c r="B1912" s="249" t="s">
        <v>380</v>
      </c>
      <c r="C1912" s="313">
        <v>50</v>
      </c>
      <c r="D1912" s="248" t="s">
        <v>381</v>
      </c>
      <c r="E1912" s="248" t="s">
        <v>126</v>
      </c>
      <c r="F1912" s="278">
        <v>0</v>
      </c>
      <c r="G1912" s="278">
        <f>F1912*C1912</f>
        <v>0</v>
      </c>
      <c r="H1912" s="279" t="s">
        <v>366</v>
      </c>
    </row>
    <row r="1913" spans="1:8">
      <c r="A1913" s="256"/>
      <c r="B1913" s="249" t="s">
        <v>382</v>
      </c>
      <c r="C1913" s="313">
        <v>2.5</v>
      </c>
      <c r="D1913" s="248" t="s">
        <v>47</v>
      </c>
      <c r="E1913" s="248" t="s">
        <v>126</v>
      </c>
      <c r="F1913" s="278">
        <v>0</v>
      </c>
      <c r="G1913" s="278">
        <f>F1913*C1913</f>
        <v>0</v>
      </c>
      <c r="H1913" s="278"/>
    </row>
    <row r="1914" spans="1:8">
      <c r="A1914" s="256"/>
      <c r="B1914" s="249"/>
      <c r="C1914" s="313"/>
      <c r="D1914" s="248"/>
      <c r="E1914" s="248"/>
      <c r="F1914" s="278"/>
      <c r="G1914" s="278"/>
      <c r="H1914" s="278"/>
    </row>
    <row r="1915" spans="1:8">
      <c r="A1915" s="256"/>
      <c r="B1915" s="249" t="s">
        <v>383</v>
      </c>
      <c r="C1915" s="313"/>
      <c r="D1915" s="248"/>
      <c r="E1915" s="248"/>
      <c r="F1915" s="278"/>
      <c r="G1915" s="278"/>
      <c r="H1915" s="278"/>
    </row>
    <row r="1916" spans="1:8">
      <c r="A1916" s="256"/>
      <c r="B1916" s="249" t="s">
        <v>384</v>
      </c>
      <c r="C1916" s="313">
        <v>2</v>
      </c>
      <c r="D1916" s="248" t="s">
        <v>15</v>
      </c>
      <c r="E1916" s="248" t="s">
        <v>126</v>
      </c>
      <c r="F1916" s="278">
        <v>0</v>
      </c>
      <c r="G1916" s="278">
        <f>F1916*C1916</f>
        <v>0</v>
      </c>
      <c r="H1916" s="278"/>
    </row>
    <row r="1917" spans="1:8">
      <c r="A1917" s="256"/>
      <c r="B1917" s="249" t="s">
        <v>385</v>
      </c>
      <c r="C1917" s="313">
        <v>20</v>
      </c>
      <c r="D1917" s="248" t="s">
        <v>381</v>
      </c>
      <c r="E1917" s="248" t="s">
        <v>126</v>
      </c>
      <c r="F1917" s="278">
        <v>0</v>
      </c>
      <c r="G1917" s="278">
        <f>F1917*C1917</f>
        <v>0</v>
      </c>
      <c r="H1917" s="279" t="s">
        <v>366</v>
      </c>
    </row>
    <row r="1918" spans="1:8">
      <c r="A1918" s="256"/>
      <c r="B1918" s="249" t="s">
        <v>382</v>
      </c>
      <c r="C1918" s="313">
        <v>0.5</v>
      </c>
      <c r="D1918" s="248" t="s">
        <v>47</v>
      </c>
      <c r="E1918" s="248" t="s">
        <v>126</v>
      </c>
      <c r="F1918" s="278">
        <v>0</v>
      </c>
      <c r="G1918" s="278">
        <f>F1918*C1918</f>
        <v>0</v>
      </c>
      <c r="H1918" s="278"/>
    </row>
    <row r="1919" spans="1:8">
      <c r="A1919" s="256"/>
      <c r="B1919" s="249"/>
      <c r="C1919" s="313"/>
      <c r="D1919" s="248"/>
      <c r="E1919" s="248"/>
      <c r="F1919" s="278"/>
      <c r="G1919" s="278"/>
      <c r="H1919" s="278"/>
    </row>
    <row r="1920" spans="1:8">
      <c r="A1920" s="280"/>
      <c r="B1920" s="281"/>
      <c r="C1920" s="314"/>
      <c r="D1920" s="283" t="s">
        <v>368</v>
      </c>
      <c r="E1920" s="284"/>
      <c r="F1920" s="281"/>
      <c r="G1920" s="285"/>
      <c r="H1920" s="276">
        <f>SUM(G1910:G1919)</f>
        <v>0</v>
      </c>
    </row>
    <row r="1921" spans="1:8">
      <c r="A1921" s="286"/>
      <c r="B1921" s="287"/>
      <c r="C1921" s="315"/>
      <c r="D1921" s="289"/>
      <c r="E1921" s="289"/>
      <c r="F1921" s="287"/>
      <c r="G1921" s="290"/>
      <c r="H1921" s="291"/>
    </row>
    <row r="1922" spans="1:8">
      <c r="A1922" s="292" t="s">
        <v>18</v>
      </c>
      <c r="B1922" s="246" t="s">
        <v>369</v>
      </c>
      <c r="C1922" s="313"/>
      <c r="D1922" s="248"/>
      <c r="E1922" s="248"/>
      <c r="F1922" s="249"/>
      <c r="G1922" s="250"/>
      <c r="H1922" s="255"/>
    </row>
    <row r="1923" spans="1:8">
      <c r="A1923" s="293"/>
      <c r="B1923" s="256" t="s">
        <v>378</v>
      </c>
      <c r="C1923" s="250"/>
      <c r="D1923" s="254"/>
      <c r="E1923" s="248"/>
      <c r="F1923" s="250"/>
      <c r="G1923" s="250"/>
      <c r="H1923" s="255"/>
    </row>
    <row r="1924" spans="1:8">
      <c r="A1924" s="293"/>
      <c r="B1924" s="249" t="s">
        <v>386</v>
      </c>
      <c r="C1924" s="294">
        <v>1</v>
      </c>
      <c r="D1924" s="254" t="s">
        <v>15</v>
      </c>
      <c r="E1924" s="248" t="s">
        <v>82</v>
      </c>
      <c r="F1924" s="255">
        <v>648855</v>
      </c>
      <c r="G1924" s="250">
        <f>F1924*C1924</f>
        <v>648855</v>
      </c>
      <c r="H1924" s="255"/>
    </row>
    <row r="1925" spans="1:8">
      <c r="A1925" s="293"/>
      <c r="B1925" s="256" t="s">
        <v>387</v>
      </c>
      <c r="C1925" s="294">
        <v>1</v>
      </c>
      <c r="D1925" s="248" t="s">
        <v>15</v>
      </c>
      <c r="E1925" s="248" t="s">
        <v>82</v>
      </c>
      <c r="F1925" s="250">
        <v>282240</v>
      </c>
      <c r="G1925" s="250">
        <f>F1925*C1925</f>
        <v>282240</v>
      </c>
      <c r="H1925" s="255"/>
    </row>
    <row r="1926" spans="1:8">
      <c r="A1926" s="293"/>
      <c r="B1926" s="256" t="s">
        <v>388</v>
      </c>
      <c r="C1926" s="294">
        <v>1.5</v>
      </c>
      <c r="D1926" s="248" t="s">
        <v>47</v>
      </c>
      <c r="E1926" s="248" t="s">
        <v>82</v>
      </c>
      <c r="F1926" s="255">
        <v>67160.25</v>
      </c>
      <c r="G1926" s="250">
        <f>F1926*C1926</f>
        <v>100740.375</v>
      </c>
      <c r="H1926" s="255"/>
    </row>
    <row r="1927" spans="1:8">
      <c r="A1927" s="293"/>
      <c r="B1927" s="256" t="s">
        <v>389</v>
      </c>
      <c r="C1927" s="294">
        <v>0.78500000000000003</v>
      </c>
      <c r="D1927" s="248" t="s">
        <v>47</v>
      </c>
      <c r="E1927" s="248" t="s">
        <v>82</v>
      </c>
      <c r="F1927" s="255">
        <v>66707.040000000008</v>
      </c>
      <c r="G1927" s="250">
        <f>F1927*C1927</f>
        <v>52365.02640000001</v>
      </c>
      <c r="H1927" s="255"/>
    </row>
    <row r="1928" spans="1:8">
      <c r="A1928" s="293"/>
      <c r="B1928" s="256" t="s">
        <v>390</v>
      </c>
      <c r="C1928" s="294">
        <v>2.355</v>
      </c>
      <c r="D1928" s="248" t="s">
        <v>47</v>
      </c>
      <c r="E1928" s="248" t="s">
        <v>82</v>
      </c>
      <c r="F1928" s="250">
        <v>208048.56</v>
      </c>
      <c r="G1928" s="250">
        <f>F1928*C1928</f>
        <v>489954.35879999999</v>
      </c>
      <c r="H1928" s="255"/>
    </row>
    <row r="1929" spans="1:8">
      <c r="A1929" s="293"/>
      <c r="B1929" s="256"/>
      <c r="C1929" s="250"/>
      <c r="D1929" s="248"/>
      <c r="E1929" s="248"/>
      <c r="F1929" s="250"/>
      <c r="G1929" s="250"/>
      <c r="H1929" s="255">
        <f>SUM(G1924:G1928)</f>
        <v>1574154.7602000001</v>
      </c>
    </row>
    <row r="1930" spans="1:8">
      <c r="A1930" s="293"/>
      <c r="B1930" s="256"/>
      <c r="C1930" s="250"/>
      <c r="D1930" s="248"/>
      <c r="E1930" s="248"/>
      <c r="F1930" s="250"/>
      <c r="G1930" s="250"/>
      <c r="H1930" s="255"/>
    </row>
    <row r="1931" spans="1:8">
      <c r="A1931" s="293"/>
      <c r="B1931" s="256" t="s">
        <v>383</v>
      </c>
      <c r="C1931" s="250"/>
      <c r="D1931" s="248"/>
      <c r="E1931" s="248"/>
      <c r="F1931" s="250"/>
      <c r="G1931" s="250"/>
      <c r="H1931" s="255"/>
    </row>
    <row r="1932" spans="1:8">
      <c r="A1932" s="293"/>
      <c r="B1932" s="249" t="s">
        <v>391</v>
      </c>
      <c r="C1932" s="294">
        <v>1</v>
      </c>
      <c r="D1932" s="248" t="s">
        <v>15</v>
      </c>
      <c r="E1932" s="248" t="s">
        <v>82</v>
      </c>
      <c r="F1932" s="250">
        <v>366615</v>
      </c>
      <c r="G1932" s="250">
        <f>F1932*C1932</f>
        <v>366615</v>
      </c>
      <c r="H1932" s="255"/>
    </row>
    <row r="1933" spans="1:8">
      <c r="A1933" s="293"/>
      <c r="B1933" s="256" t="s">
        <v>392</v>
      </c>
      <c r="C1933" s="294">
        <v>1</v>
      </c>
      <c r="D1933" s="248" t="s">
        <v>15</v>
      </c>
      <c r="E1933" s="248" t="s">
        <v>82</v>
      </c>
      <c r="F1933" s="250">
        <v>141120</v>
      </c>
      <c r="G1933" s="250">
        <f>F1933*C1933</f>
        <v>141120</v>
      </c>
      <c r="H1933" s="255"/>
    </row>
    <row r="1934" spans="1:8">
      <c r="A1934" s="293"/>
      <c r="B1934" s="256" t="s">
        <v>393</v>
      </c>
      <c r="C1934" s="294">
        <v>0.47099999999999997</v>
      </c>
      <c r="D1934" s="248" t="s">
        <v>47</v>
      </c>
      <c r="E1934" s="248" t="s">
        <v>82</v>
      </c>
      <c r="F1934" s="250">
        <v>66707.040000000008</v>
      </c>
      <c r="G1934" s="250">
        <f>F1934*C1934</f>
        <v>31419.015840000004</v>
      </c>
      <c r="H1934" s="255"/>
    </row>
    <row r="1935" spans="1:8">
      <c r="A1935" s="293"/>
      <c r="B1935" s="256" t="s">
        <v>394</v>
      </c>
      <c r="C1935" s="294">
        <v>1.8839999999999999</v>
      </c>
      <c r="D1935" s="248" t="s">
        <v>47</v>
      </c>
      <c r="E1935" s="248" t="s">
        <v>82</v>
      </c>
      <c r="F1935" s="250">
        <v>208048.56</v>
      </c>
      <c r="G1935" s="250">
        <f>F1935*C1935</f>
        <v>391963.48703999998</v>
      </c>
      <c r="H1935" s="255"/>
    </row>
    <row r="1936" spans="1:8">
      <c r="A1936" s="293"/>
      <c r="B1936" s="256"/>
      <c r="C1936" s="250"/>
      <c r="D1936" s="248"/>
      <c r="E1936" s="248"/>
      <c r="F1936" s="250"/>
      <c r="G1936" s="250"/>
      <c r="H1936" s="255">
        <f>SUM(G1932:G1935)</f>
        <v>931117.50288000004</v>
      </c>
    </row>
    <row r="1937" spans="1:8">
      <c r="A1937" s="293"/>
      <c r="B1937" s="256"/>
      <c r="C1937" s="250"/>
      <c r="D1937" s="248"/>
      <c r="E1937" s="248"/>
      <c r="F1937" s="250"/>
      <c r="G1937" s="250"/>
      <c r="H1937" s="255"/>
    </row>
    <row r="1938" spans="1:8">
      <c r="A1938" s="295"/>
      <c r="B1938" s="281"/>
      <c r="C1938" s="296"/>
      <c r="D1938" s="297" t="s">
        <v>25</v>
      </c>
      <c r="E1938" s="284"/>
      <c r="F1938" s="296"/>
      <c r="G1938" s="298"/>
      <c r="H1938" s="275">
        <f>SUM(H1922:H1936)</f>
        <v>2505272.2630799999</v>
      </c>
    </row>
    <row r="1939" spans="1:8">
      <c r="A1939" s="299"/>
      <c r="B1939" s="300"/>
      <c r="C1939" s="288"/>
      <c r="D1939" s="288"/>
      <c r="E1939" s="289"/>
      <c r="F1939" s="301"/>
      <c r="G1939" s="302"/>
      <c r="H1939" s="303"/>
    </row>
    <row r="1940" spans="1:8">
      <c r="A1940" s="304" t="s">
        <v>27</v>
      </c>
      <c r="B1940" s="305"/>
      <c r="C1940" s="305"/>
      <c r="D1940" s="305"/>
      <c r="E1940" s="305"/>
      <c r="F1940" s="306"/>
      <c r="G1940" s="274" t="s">
        <v>28</v>
      </c>
      <c r="H1940" s="275">
        <f>H1920+H1938</f>
        <v>2505272.2630799999</v>
      </c>
    </row>
    <row r="1941" spans="1:8">
      <c r="A1941" s="307"/>
      <c r="B1941" s="308" t="s">
        <v>395</v>
      </c>
      <c r="C1941" s="309"/>
      <c r="D1941" s="309"/>
      <c r="E1941" s="309"/>
      <c r="F1941" s="310"/>
      <c r="G1941" s="311" t="s">
        <v>30</v>
      </c>
      <c r="H1941" s="312">
        <f>ROUND(H1940,-3)</f>
        <v>2505000</v>
      </c>
    </row>
    <row r="1942" spans="1:8">
      <c r="A1942" s="131"/>
      <c r="B1942" s="131"/>
      <c r="C1942" s="131"/>
      <c r="D1942" s="131"/>
      <c r="E1942" s="131"/>
      <c r="F1942" s="131"/>
      <c r="G1942" s="131"/>
      <c r="H1942" s="132"/>
    </row>
    <row r="1943" spans="1:8">
      <c r="A1943" s="131"/>
      <c r="B1943" s="131"/>
      <c r="C1943" s="131"/>
      <c r="D1943" s="131"/>
      <c r="E1943" s="131"/>
      <c r="F1943" s="131"/>
      <c r="G1943" s="131"/>
      <c r="H1943" s="132"/>
    </row>
    <row r="1944" spans="1:8">
      <c r="A1944" s="6"/>
      <c r="B1944" s="6"/>
      <c r="C1944" s="6"/>
      <c r="D1944" s="6"/>
      <c r="E1944" s="6"/>
      <c r="F1944" s="6"/>
      <c r="G1944" s="1591" t="s">
        <v>396</v>
      </c>
      <c r="H1944" s="1591"/>
    </row>
    <row r="1945" spans="1:8">
      <c r="A1945" s="1591" t="s">
        <v>234</v>
      </c>
      <c r="B1945" s="1591"/>
      <c r="C1945" s="1591" t="s">
        <v>32</v>
      </c>
      <c r="D1945" s="1591"/>
      <c r="E1945" s="1591"/>
      <c r="F1945" s="6"/>
      <c r="G1945" s="1591" t="s">
        <v>33</v>
      </c>
      <c r="H1945" s="1591"/>
    </row>
    <row r="1946" spans="1:8">
      <c r="A1946" s="6"/>
      <c r="B1946" s="6"/>
      <c r="C1946" s="6"/>
      <c r="D1946" s="6"/>
      <c r="E1946" s="6"/>
      <c r="F1946" s="6"/>
      <c r="G1946" s="6"/>
      <c r="H1946" s="6"/>
    </row>
    <row r="1947" spans="1:8">
      <c r="A1947" s="6"/>
      <c r="B1947" s="6"/>
      <c r="C1947" s="6"/>
      <c r="D1947" s="6"/>
      <c r="E1947" s="6"/>
      <c r="F1947" s="6"/>
      <c r="G1947" s="6"/>
      <c r="H1947" s="6"/>
    </row>
    <row r="1948" spans="1:8">
      <c r="A1948" s="6"/>
      <c r="B1948" s="6"/>
      <c r="C1948" s="6"/>
      <c r="D1948" s="6"/>
      <c r="E1948" s="6"/>
      <c r="F1948" s="6"/>
      <c r="G1948" s="6"/>
      <c r="H1948" s="6"/>
    </row>
    <row r="1949" spans="1:8">
      <c r="A1949" s="1590" t="s">
        <v>34</v>
      </c>
      <c r="B1949" s="1590"/>
      <c r="C1949" s="1590" t="s">
        <v>35</v>
      </c>
      <c r="D1949" s="1590"/>
      <c r="E1949" s="1590"/>
      <c r="F1949" s="6"/>
      <c r="G1949" s="1590" t="s">
        <v>36</v>
      </c>
      <c r="H1949" s="1590"/>
    </row>
    <row r="1950" spans="1:8">
      <c r="A1950" s="1591" t="s">
        <v>37</v>
      </c>
      <c r="B1950" s="1591"/>
      <c r="C1950" s="1591" t="s">
        <v>38</v>
      </c>
      <c r="D1950" s="1591"/>
      <c r="E1950" s="1591"/>
      <c r="F1950" s="6"/>
      <c r="G1950" s="1591" t="s">
        <v>39</v>
      </c>
      <c r="H1950" s="1591"/>
    </row>
    <row r="1955" spans="1:8">
      <c r="A1955" s="6"/>
      <c r="B1955" s="6"/>
      <c r="C1955" s="6"/>
      <c r="D1955" s="6"/>
      <c r="E1955" s="6"/>
      <c r="F1955" s="6"/>
      <c r="G1955" s="6"/>
      <c r="H1955" s="6"/>
    </row>
    <row r="1956" spans="1:8" ht="15.6">
      <c r="A1956" s="1603" t="s">
        <v>235</v>
      </c>
      <c r="B1956" s="1509"/>
      <c r="C1956" s="1509"/>
      <c r="D1956" s="1509"/>
      <c r="E1956" s="1509"/>
      <c r="F1956" s="1509"/>
      <c r="G1956" s="1509"/>
      <c r="H1956" s="1509"/>
    </row>
    <row r="1957" spans="1:8" ht="14.4">
      <c r="A1957" s="1584" t="s">
        <v>397</v>
      </c>
      <c r="B1957" s="1584"/>
      <c r="C1957" s="1584"/>
      <c r="D1957" s="1584"/>
      <c r="E1957" s="1584"/>
      <c r="F1957" s="1584"/>
      <c r="G1957" s="1584"/>
      <c r="H1957" s="1584"/>
    </row>
    <row r="1958" spans="1:8" ht="14.4">
      <c r="A1958" s="1584" t="s">
        <v>398</v>
      </c>
      <c r="B1958" s="1584"/>
      <c r="C1958" s="1584"/>
      <c r="D1958" s="1584"/>
      <c r="E1958" s="1584"/>
      <c r="F1958" s="1584"/>
      <c r="G1958" s="1584"/>
      <c r="H1958" s="1584"/>
    </row>
    <row r="1959" spans="1:8">
      <c r="A1959" s="7"/>
      <c r="B1959" s="7"/>
      <c r="C1959" s="7"/>
      <c r="D1959" s="7"/>
      <c r="E1959" s="7"/>
      <c r="F1959" s="7"/>
      <c r="G1959" s="7"/>
      <c r="H1959" s="7"/>
    </row>
    <row r="1960" spans="1:8">
      <c r="A1960" s="7"/>
      <c r="B1960" s="7"/>
      <c r="C1960" s="7"/>
      <c r="D1960" s="7"/>
      <c r="E1960" s="7"/>
      <c r="F1960" s="7"/>
      <c r="G1960" s="7"/>
      <c r="H1960" s="7"/>
    </row>
    <row r="1961" spans="1:8" ht="13.8">
      <c r="A1961" s="1604" t="s">
        <v>3</v>
      </c>
      <c r="B1961" s="1604" t="s">
        <v>4</v>
      </c>
      <c r="C1961" s="1604" t="s">
        <v>5</v>
      </c>
      <c r="D1961" s="1604" t="s">
        <v>6</v>
      </c>
      <c r="E1961" s="1604" t="s">
        <v>7</v>
      </c>
      <c r="F1961" s="316" t="s">
        <v>8</v>
      </c>
      <c r="G1961" s="316" t="s">
        <v>9</v>
      </c>
      <c r="H1961" s="316" t="s">
        <v>10</v>
      </c>
    </row>
    <row r="1962" spans="1:8" ht="13.8">
      <c r="A1962" s="1605"/>
      <c r="B1962" s="1605"/>
      <c r="C1962" s="1605"/>
      <c r="D1962" s="1605"/>
      <c r="E1962" s="1605"/>
      <c r="F1962" s="317" t="s">
        <v>11</v>
      </c>
      <c r="G1962" s="317" t="s">
        <v>11</v>
      </c>
      <c r="H1962" s="317" t="s">
        <v>11</v>
      </c>
    </row>
    <row r="1963" spans="1:8" ht="13.8">
      <c r="A1963" s="316" t="s">
        <v>12</v>
      </c>
      <c r="B1963" s="318" t="s">
        <v>364</v>
      </c>
      <c r="C1963" s="319"/>
      <c r="D1963" s="320"/>
      <c r="E1963" s="320"/>
      <c r="F1963" s="320"/>
      <c r="G1963" s="321"/>
      <c r="H1963" s="322"/>
    </row>
    <row r="1964" spans="1:8" ht="13.8">
      <c r="A1964" s="323">
        <v>1</v>
      </c>
      <c r="B1964" s="323" t="s">
        <v>399</v>
      </c>
      <c r="C1964" s="324">
        <v>1</v>
      </c>
      <c r="D1964" s="325" t="s">
        <v>400</v>
      </c>
      <c r="E1964" s="325" t="s">
        <v>126</v>
      </c>
      <c r="F1964" s="326">
        <v>0</v>
      </c>
      <c r="G1964" s="326">
        <f>F1964*C1964</f>
        <v>0</v>
      </c>
      <c r="H1964" s="327" t="s">
        <v>401</v>
      </c>
    </row>
    <row r="1965" spans="1:8" ht="13.8">
      <c r="A1965" s="323">
        <f>A1964+1</f>
        <v>2</v>
      </c>
      <c r="B1965" s="323" t="s">
        <v>402</v>
      </c>
      <c r="C1965" s="324">
        <v>40</v>
      </c>
      <c r="D1965" s="325" t="s">
        <v>403</v>
      </c>
      <c r="E1965" s="325" t="s">
        <v>126</v>
      </c>
      <c r="F1965" s="326">
        <v>0</v>
      </c>
      <c r="G1965" s="326">
        <f>F1965*C1965</f>
        <v>0</v>
      </c>
      <c r="H1965" s="327"/>
    </row>
    <row r="1966" spans="1:8" ht="13.8">
      <c r="A1966" s="323">
        <f>A1965+1</f>
        <v>3</v>
      </c>
      <c r="B1966" s="323" t="s">
        <v>404</v>
      </c>
      <c r="C1966" s="324">
        <v>24</v>
      </c>
      <c r="D1966" s="325" t="s">
        <v>403</v>
      </c>
      <c r="E1966" s="325" t="s">
        <v>126</v>
      </c>
      <c r="F1966" s="326">
        <v>0</v>
      </c>
      <c r="G1966" s="326">
        <f>F1966*C1966</f>
        <v>0</v>
      </c>
      <c r="H1966" s="326"/>
    </row>
    <row r="1967" spans="1:8" ht="13.8">
      <c r="A1967" s="323">
        <f>A1966+1</f>
        <v>4</v>
      </c>
      <c r="B1967" s="323" t="s">
        <v>405</v>
      </c>
      <c r="C1967" s="324">
        <v>3</v>
      </c>
      <c r="D1967" s="325" t="s">
        <v>179</v>
      </c>
      <c r="E1967" s="325" t="s">
        <v>126</v>
      </c>
      <c r="F1967" s="326">
        <v>0</v>
      </c>
      <c r="G1967" s="326">
        <f>F1967*C1967</f>
        <v>0</v>
      </c>
      <c r="H1967" s="326"/>
    </row>
    <row r="1968" spans="1:8" ht="13.8">
      <c r="A1968" s="328"/>
      <c r="B1968" s="329"/>
      <c r="C1968" s="330"/>
      <c r="D1968" s="330" t="s">
        <v>368</v>
      </c>
      <c r="E1968" s="331"/>
      <c r="F1968" s="329"/>
      <c r="G1968" s="332"/>
      <c r="H1968" s="322">
        <f>SUM(G1964:G1967)</f>
        <v>0</v>
      </c>
    </row>
    <row r="1969" spans="1:8" ht="13.8">
      <c r="A1969" s="333"/>
      <c r="B1969" s="334"/>
      <c r="C1969" s="335"/>
      <c r="D1969" s="336"/>
      <c r="E1969" s="336"/>
      <c r="F1969" s="334"/>
      <c r="G1969" s="337"/>
      <c r="H1969" s="338"/>
    </row>
    <row r="1970" spans="1:8" ht="13.8">
      <c r="A1970" s="339" t="s">
        <v>18</v>
      </c>
      <c r="B1970" s="340" t="s">
        <v>406</v>
      </c>
      <c r="C1970" s="324"/>
      <c r="D1970" s="325"/>
      <c r="E1970" s="325"/>
      <c r="F1970" s="323"/>
      <c r="G1970" s="341"/>
      <c r="H1970" s="342"/>
    </row>
    <row r="1971" spans="1:8" ht="13.8">
      <c r="A1971" s="343">
        <v>1</v>
      </c>
      <c r="B1971" s="323" t="s">
        <v>407</v>
      </c>
      <c r="C1971" s="341">
        <v>1</v>
      </c>
      <c r="D1971" s="344" t="s">
        <v>403</v>
      </c>
      <c r="E1971" s="325" t="s">
        <v>408</v>
      </c>
      <c r="F1971" s="341">
        <f>763560*1.5*1.5</f>
        <v>1718010</v>
      </c>
      <c r="G1971" s="341">
        <f t="shared" ref="G1971:G1979" si="22">C1971*F1971</f>
        <v>1718010</v>
      </c>
      <c r="H1971" s="342"/>
    </row>
    <row r="1972" spans="1:8" ht="13.8">
      <c r="A1972" s="343">
        <f t="shared" ref="A1972:A1979" si="23">A1971+1</f>
        <v>2</v>
      </c>
      <c r="B1972" s="323" t="s">
        <v>409</v>
      </c>
      <c r="C1972" s="341">
        <v>1</v>
      </c>
      <c r="D1972" s="344" t="s">
        <v>410</v>
      </c>
      <c r="E1972" s="325" t="s">
        <v>410</v>
      </c>
      <c r="F1972" s="342">
        <v>250000</v>
      </c>
      <c r="G1972" s="341">
        <f t="shared" si="22"/>
        <v>250000</v>
      </c>
      <c r="H1972" s="342"/>
    </row>
    <row r="1973" spans="1:8" ht="13.8">
      <c r="A1973" s="343">
        <f t="shared" si="23"/>
        <v>3</v>
      </c>
      <c r="B1973" s="323" t="s">
        <v>411</v>
      </c>
      <c r="C1973" s="341">
        <v>2</v>
      </c>
      <c r="D1973" s="325" t="s">
        <v>403</v>
      </c>
      <c r="E1973" s="325" t="s">
        <v>408</v>
      </c>
      <c r="F1973" s="341">
        <f>269060*1.5*1.5</f>
        <v>605385</v>
      </c>
      <c r="G1973" s="341">
        <f t="shared" si="22"/>
        <v>1210770</v>
      </c>
      <c r="H1973" s="342"/>
    </row>
    <row r="1974" spans="1:8" ht="13.8">
      <c r="A1974" s="343">
        <f t="shared" si="23"/>
        <v>4</v>
      </c>
      <c r="B1974" s="323" t="s">
        <v>412</v>
      </c>
      <c r="C1974" s="341">
        <v>1</v>
      </c>
      <c r="D1974" s="325" t="s">
        <v>334</v>
      </c>
      <c r="E1974" s="325" t="s">
        <v>410</v>
      </c>
      <c r="F1974" s="342">
        <v>5000000</v>
      </c>
      <c r="G1974" s="341">
        <f t="shared" si="22"/>
        <v>5000000</v>
      </c>
      <c r="H1974" s="342"/>
    </row>
    <row r="1975" spans="1:8" ht="13.8">
      <c r="A1975" s="343">
        <f t="shared" si="23"/>
        <v>5</v>
      </c>
      <c r="B1975" s="323" t="s">
        <v>413</v>
      </c>
      <c r="C1975" s="341">
        <v>4</v>
      </c>
      <c r="D1975" s="325" t="s">
        <v>414</v>
      </c>
      <c r="E1975" s="325" t="s">
        <v>410</v>
      </c>
      <c r="F1975" s="342">
        <v>150000</v>
      </c>
      <c r="G1975" s="341">
        <f t="shared" si="22"/>
        <v>600000</v>
      </c>
      <c r="H1975" s="342"/>
    </row>
    <row r="1976" spans="1:8" ht="13.8">
      <c r="A1976" s="343">
        <f t="shared" si="23"/>
        <v>6</v>
      </c>
      <c r="B1976" s="323" t="s">
        <v>415</v>
      </c>
      <c r="C1976" s="341">
        <v>1</v>
      </c>
      <c r="D1976" s="325" t="s">
        <v>416</v>
      </c>
      <c r="E1976" s="325" t="s">
        <v>410</v>
      </c>
      <c r="F1976" s="341">
        <v>250000</v>
      </c>
      <c r="G1976" s="341">
        <f t="shared" si="22"/>
        <v>250000</v>
      </c>
      <c r="H1976" s="342"/>
    </row>
    <row r="1977" spans="1:8" ht="13.8">
      <c r="A1977" s="343">
        <f t="shared" si="23"/>
        <v>7</v>
      </c>
      <c r="B1977" s="323" t="s">
        <v>417</v>
      </c>
      <c r="C1977" s="341">
        <v>1</v>
      </c>
      <c r="D1977" s="325" t="s">
        <v>418</v>
      </c>
      <c r="E1977" s="325" t="s">
        <v>410</v>
      </c>
      <c r="F1977" s="341">
        <v>150000</v>
      </c>
      <c r="G1977" s="341">
        <f t="shared" si="22"/>
        <v>150000</v>
      </c>
      <c r="H1977" s="342"/>
    </row>
    <row r="1978" spans="1:8" ht="13.8">
      <c r="A1978" s="343">
        <f t="shared" si="23"/>
        <v>8</v>
      </c>
      <c r="B1978" s="323" t="s">
        <v>419</v>
      </c>
      <c r="C1978" s="341">
        <v>1</v>
      </c>
      <c r="D1978" s="325" t="s">
        <v>416</v>
      </c>
      <c r="E1978" s="325" t="s">
        <v>410</v>
      </c>
      <c r="F1978" s="341">
        <v>350000</v>
      </c>
      <c r="G1978" s="341">
        <f t="shared" si="22"/>
        <v>350000</v>
      </c>
      <c r="H1978" s="342"/>
    </row>
    <row r="1979" spans="1:8" ht="13.8">
      <c r="A1979" s="343">
        <f t="shared" si="23"/>
        <v>9</v>
      </c>
      <c r="B1979" s="323" t="s">
        <v>420</v>
      </c>
      <c r="C1979" s="341">
        <v>1</v>
      </c>
      <c r="D1979" s="325" t="s">
        <v>416</v>
      </c>
      <c r="E1979" s="325" t="s">
        <v>421</v>
      </c>
      <c r="F1979" s="341">
        <v>2000000</v>
      </c>
      <c r="G1979" s="341">
        <f t="shared" si="22"/>
        <v>2000000</v>
      </c>
      <c r="H1979" s="342"/>
    </row>
    <row r="1980" spans="1:8" ht="13.8">
      <c r="A1980" s="345"/>
      <c r="B1980" s="329"/>
      <c r="C1980" s="346"/>
      <c r="D1980" s="347" t="s">
        <v>25</v>
      </c>
      <c r="E1980" s="331"/>
      <c r="F1980" s="346"/>
      <c r="G1980" s="348">
        <f>SUM(G1971:G1979)</f>
        <v>11528780</v>
      </c>
      <c r="H1980" s="322">
        <f>SUM(G1980:G1981)</f>
        <v>12681658</v>
      </c>
    </row>
    <row r="1981" spans="1:8" ht="13.8">
      <c r="A1981" s="333"/>
      <c r="B1981" s="334"/>
      <c r="C1981" s="349"/>
      <c r="D1981" s="349"/>
      <c r="E1981" s="336"/>
      <c r="F1981" s="350" t="s">
        <v>26</v>
      </c>
      <c r="G1981" s="351">
        <f>G1980/10</f>
        <v>1152878</v>
      </c>
      <c r="H1981" s="352"/>
    </row>
    <row r="1982" spans="1:8" ht="13.8">
      <c r="A1982" s="353" t="s">
        <v>27</v>
      </c>
      <c r="B1982" s="354"/>
      <c r="C1982" s="354"/>
      <c r="D1982" s="354"/>
      <c r="E1982" s="354"/>
      <c r="F1982" s="355"/>
      <c r="G1982" s="320" t="s">
        <v>28</v>
      </c>
      <c r="H1982" s="322">
        <f>H1968+H1980</f>
        <v>12681658</v>
      </c>
    </row>
    <row r="1983" spans="1:8" ht="13.8">
      <c r="A1983" s="356"/>
      <c r="B1983" s="357" t="s">
        <v>422</v>
      </c>
      <c r="C1983" s="357"/>
      <c r="D1983" s="357"/>
      <c r="E1983" s="357"/>
      <c r="F1983" s="358"/>
      <c r="G1983" s="359" t="s">
        <v>30</v>
      </c>
      <c r="H1983" s="338">
        <f>ROUND(H1982,-2)</f>
        <v>12681700</v>
      </c>
    </row>
    <row r="1984" spans="1:8" ht="13.8">
      <c r="A1984" s="360"/>
      <c r="B1984" s="360"/>
      <c r="C1984" s="360"/>
      <c r="D1984" s="360"/>
      <c r="E1984" s="360"/>
      <c r="F1984" s="360"/>
      <c r="G1984" s="360"/>
      <c r="H1984" s="361"/>
    </row>
    <row r="1985" spans="1:8" ht="13.8">
      <c r="A1985" s="360"/>
      <c r="B1985" s="360"/>
      <c r="C1985" s="360"/>
      <c r="D1985" s="360"/>
      <c r="E1985" s="360"/>
      <c r="F1985" s="360"/>
      <c r="G1985" s="360"/>
      <c r="H1985" s="361"/>
    </row>
    <row r="1986" spans="1:8" ht="13.8">
      <c r="A1986" s="362"/>
      <c r="B1986" s="362"/>
      <c r="C1986" s="362"/>
      <c r="D1986" s="362"/>
      <c r="E1986" s="362"/>
      <c r="F1986" s="362"/>
      <c r="G1986" s="1601" t="s">
        <v>342</v>
      </c>
      <c r="H1986" s="1601"/>
    </row>
    <row r="1987" spans="1:8" ht="13.8">
      <c r="A1987" s="1601" t="s">
        <v>234</v>
      </c>
      <c r="B1987" s="1601"/>
      <c r="C1987" s="1601" t="s">
        <v>32</v>
      </c>
      <c r="D1987" s="1601"/>
      <c r="E1987" s="1601"/>
      <c r="F1987" s="362"/>
      <c r="G1987" s="1601" t="s">
        <v>33</v>
      </c>
      <c r="H1987" s="1601"/>
    </row>
    <row r="1988" spans="1:8" ht="13.8">
      <c r="A1988" s="362"/>
      <c r="B1988" s="362"/>
      <c r="C1988" s="362"/>
      <c r="D1988" s="362"/>
      <c r="E1988" s="362"/>
      <c r="F1988" s="362"/>
      <c r="G1988" s="362"/>
      <c r="H1988" s="362"/>
    </row>
    <row r="1989" spans="1:8" ht="13.8">
      <c r="A1989" s="362"/>
      <c r="B1989" s="362"/>
      <c r="C1989" s="362"/>
      <c r="D1989" s="362"/>
      <c r="E1989" s="362"/>
      <c r="F1989" s="362"/>
      <c r="G1989" s="362"/>
      <c r="H1989" s="362"/>
    </row>
    <row r="1990" spans="1:8" ht="13.8">
      <c r="A1990" s="362"/>
      <c r="B1990" s="362"/>
      <c r="C1990" s="362"/>
      <c r="D1990" s="362"/>
      <c r="E1990" s="362"/>
      <c r="F1990" s="362"/>
      <c r="G1990" s="362"/>
      <c r="H1990" s="362"/>
    </row>
    <row r="1991" spans="1:8" ht="13.8">
      <c r="A1991" s="1602" t="s">
        <v>34</v>
      </c>
      <c r="B1991" s="1602"/>
      <c r="C1991" s="1602" t="s">
        <v>423</v>
      </c>
      <c r="D1991" s="1602"/>
      <c r="E1991" s="1602"/>
      <c r="F1991" s="362"/>
      <c r="G1991" s="1602" t="s">
        <v>36</v>
      </c>
      <c r="H1991" s="1602"/>
    </row>
    <row r="1992" spans="1:8" ht="13.8">
      <c r="A1992" s="1601" t="s">
        <v>37</v>
      </c>
      <c r="B1992" s="1601"/>
      <c r="C1992" s="1601" t="s">
        <v>38</v>
      </c>
      <c r="D1992" s="1601"/>
      <c r="E1992" s="1601"/>
      <c r="F1992" s="362"/>
      <c r="G1992" s="1601" t="s">
        <v>39</v>
      </c>
      <c r="H1992" s="1601"/>
    </row>
    <row r="1993" spans="1:8">
      <c r="A1993" s="3"/>
      <c r="B1993" s="3"/>
      <c r="C1993" s="3"/>
      <c r="D1993" s="3"/>
      <c r="E1993" s="3"/>
      <c r="F1993" s="3"/>
      <c r="G1993" s="3"/>
      <c r="H1993" s="3"/>
    </row>
    <row r="1994" spans="1:8">
      <c r="A1994" s="3"/>
      <c r="B1994" s="3"/>
      <c r="C1994" s="3"/>
      <c r="D1994" s="3"/>
      <c r="E1994" s="3"/>
      <c r="F1994" s="3"/>
      <c r="G1994" s="3"/>
      <c r="H1994" s="3"/>
    </row>
    <row r="1995" spans="1:8">
      <c r="A1995" s="1594" t="s">
        <v>424</v>
      </c>
      <c r="B1995" s="1591"/>
      <c r="C1995" s="1591"/>
      <c r="D1995" s="1591"/>
      <c r="E1995" s="1591"/>
      <c r="F1995" s="1591"/>
      <c r="G1995" s="1591"/>
      <c r="H1995" s="1591"/>
    </row>
    <row r="1996" spans="1:8">
      <c r="A1996" s="1594" t="s">
        <v>425</v>
      </c>
      <c r="B1996" s="1594"/>
      <c r="C1996" s="1594"/>
      <c r="D1996" s="1594"/>
      <c r="E1996" s="1594"/>
      <c r="F1996" s="1594"/>
      <c r="G1996" s="1594"/>
      <c r="H1996" s="1594"/>
    </row>
    <row r="1997" spans="1:8">
      <c r="A1997" s="1594" t="s">
        <v>426</v>
      </c>
      <c r="B1997" s="1594"/>
      <c r="C1997" s="1594"/>
      <c r="D1997" s="1594"/>
      <c r="E1997" s="1594"/>
      <c r="F1997" s="1594"/>
      <c r="G1997" s="1594"/>
      <c r="H1997" s="1594"/>
    </row>
    <row r="1998" spans="1:8">
      <c r="A1998" s="7"/>
      <c r="B1998" s="7"/>
      <c r="C1998" s="7"/>
      <c r="D1998" s="7"/>
      <c r="E1998" s="7"/>
      <c r="F1998" s="7"/>
      <c r="G1998" s="7"/>
      <c r="H1998" s="7"/>
    </row>
    <row r="1999" spans="1:8">
      <c r="A1999" s="7"/>
      <c r="B1999" s="7"/>
      <c r="C1999" s="7"/>
      <c r="D1999" s="7"/>
      <c r="E1999" s="7"/>
      <c r="F1999" s="7"/>
      <c r="G1999" s="7"/>
      <c r="H1999" s="7"/>
    </row>
    <row r="2000" spans="1:8">
      <c r="A2000" s="1606" t="s">
        <v>427</v>
      </c>
      <c r="B2000" s="1606" t="s">
        <v>428</v>
      </c>
      <c r="C2000" s="1606" t="s">
        <v>429</v>
      </c>
      <c r="D2000" s="1606" t="s">
        <v>430</v>
      </c>
      <c r="E2000" s="1606" t="s">
        <v>431</v>
      </c>
      <c r="F2000" s="371" t="s">
        <v>432</v>
      </c>
      <c r="G2000" s="371" t="s">
        <v>433</v>
      </c>
      <c r="H2000" s="371" t="s">
        <v>434</v>
      </c>
    </row>
    <row r="2001" spans="1:8">
      <c r="A2001" s="1606"/>
      <c r="B2001" s="1606"/>
      <c r="C2001" s="1606"/>
      <c r="D2001" s="1606"/>
      <c r="E2001" s="1606"/>
      <c r="F2001" s="372" t="s">
        <v>435</v>
      </c>
      <c r="G2001" s="372" t="s">
        <v>435</v>
      </c>
      <c r="H2001" s="372" t="s">
        <v>435</v>
      </c>
    </row>
    <row r="2002" spans="1:8">
      <c r="A2002" s="373" t="s">
        <v>265</v>
      </c>
      <c r="B2002" s="374" t="s">
        <v>436</v>
      </c>
      <c r="C2002" s="375"/>
      <c r="D2002" s="375"/>
      <c r="E2002" s="375"/>
      <c r="F2002" s="375"/>
      <c r="G2002" s="375"/>
      <c r="H2002" s="375"/>
    </row>
    <row r="2003" spans="1:8">
      <c r="A2003" s="376">
        <v>1</v>
      </c>
      <c r="B2003" s="375" t="s">
        <v>437</v>
      </c>
      <c r="C2003" s="377">
        <v>2</v>
      </c>
      <c r="D2003" s="378" t="s">
        <v>223</v>
      </c>
      <c r="E2003" s="378" t="s">
        <v>51</v>
      </c>
      <c r="F2003" s="377">
        <v>100000</v>
      </c>
      <c r="G2003" s="377">
        <f t="shared" ref="G2003:G2008" si="24">C2003*F2003</f>
        <v>200000</v>
      </c>
      <c r="H2003" s="377"/>
    </row>
    <row r="2004" spans="1:8">
      <c r="A2004" s="376">
        <f>A2003+1</f>
        <v>2</v>
      </c>
      <c r="B2004" s="375" t="s">
        <v>417</v>
      </c>
      <c r="C2004" s="377">
        <v>2</v>
      </c>
      <c r="D2004" s="378" t="s">
        <v>223</v>
      </c>
      <c r="E2004" s="378" t="s">
        <v>51</v>
      </c>
      <c r="F2004" s="377">
        <v>350000</v>
      </c>
      <c r="G2004" s="377">
        <f t="shared" si="24"/>
        <v>700000</v>
      </c>
      <c r="H2004" s="377"/>
    </row>
    <row r="2005" spans="1:8">
      <c r="A2005" s="376">
        <f>A2004+1</f>
        <v>3</v>
      </c>
      <c r="B2005" s="375" t="s">
        <v>438</v>
      </c>
      <c r="C2005" s="377">
        <v>1</v>
      </c>
      <c r="D2005" s="378" t="s">
        <v>51</v>
      </c>
      <c r="E2005" s="378" t="s">
        <v>51</v>
      </c>
      <c r="F2005" s="377">
        <v>1000000</v>
      </c>
      <c r="G2005" s="377">
        <f t="shared" si="24"/>
        <v>1000000</v>
      </c>
      <c r="H2005" s="377"/>
    </row>
    <row r="2006" spans="1:8">
      <c r="A2006" s="376">
        <f>A2005+1</f>
        <v>4</v>
      </c>
      <c r="B2006" s="375" t="s">
        <v>439</v>
      </c>
      <c r="C2006" s="377">
        <v>1</v>
      </c>
      <c r="D2006" s="378" t="s">
        <v>51</v>
      </c>
      <c r="E2006" s="378" t="s">
        <v>51</v>
      </c>
      <c r="F2006" s="377">
        <v>850000</v>
      </c>
      <c r="G2006" s="377">
        <f t="shared" si="24"/>
        <v>850000</v>
      </c>
      <c r="H2006" s="377"/>
    </row>
    <row r="2007" spans="1:8">
      <c r="A2007" s="376">
        <f>A2006+1</f>
        <v>5</v>
      </c>
      <c r="B2007" s="375" t="s">
        <v>440</v>
      </c>
      <c r="C2007" s="377">
        <v>1</v>
      </c>
      <c r="D2007" s="378" t="s">
        <v>51</v>
      </c>
      <c r="E2007" s="378" t="s">
        <v>51</v>
      </c>
      <c r="F2007" s="377">
        <v>500000</v>
      </c>
      <c r="G2007" s="377">
        <f t="shared" si="24"/>
        <v>500000</v>
      </c>
      <c r="H2007" s="377"/>
    </row>
    <row r="2008" spans="1:8">
      <c r="A2008" s="376">
        <f>A2007+1</f>
        <v>6</v>
      </c>
      <c r="B2008" s="375" t="s">
        <v>441</v>
      </c>
      <c r="C2008" s="377">
        <v>4</v>
      </c>
      <c r="D2008" s="378" t="s">
        <v>51</v>
      </c>
      <c r="E2008" s="378" t="s">
        <v>51</v>
      </c>
      <c r="F2008" s="377">
        <v>150000</v>
      </c>
      <c r="G2008" s="377">
        <f t="shared" si="24"/>
        <v>600000</v>
      </c>
      <c r="H2008" s="380">
        <f>SUM(G2003:G2008)</f>
        <v>3850000</v>
      </c>
    </row>
    <row r="2009" spans="1:8">
      <c r="A2009" s="375"/>
      <c r="B2009" s="375"/>
      <c r="C2009" s="377"/>
      <c r="D2009" s="378"/>
      <c r="E2009" s="378"/>
      <c r="F2009" s="1607"/>
      <c r="G2009" s="1607"/>
      <c r="H2009" s="380"/>
    </row>
    <row r="2010" spans="1:8">
      <c r="A2010" s="373" t="s">
        <v>442</v>
      </c>
      <c r="B2010" s="374" t="s">
        <v>443</v>
      </c>
      <c r="C2010" s="377"/>
      <c r="D2010" s="378"/>
      <c r="E2010" s="378"/>
      <c r="F2010" s="377"/>
      <c r="G2010" s="377"/>
      <c r="H2010" s="377"/>
    </row>
    <row r="2011" spans="1:8">
      <c r="A2011" s="376">
        <v>1</v>
      </c>
      <c r="B2011" s="375" t="s">
        <v>444</v>
      </c>
      <c r="C2011" s="377">
        <f>42*16.5*0.5</f>
        <v>346.5</v>
      </c>
      <c r="D2011" s="378" t="s">
        <v>81</v>
      </c>
      <c r="E2011" s="378" t="s">
        <v>82</v>
      </c>
      <c r="F2011" s="377">
        <v>4786.5</v>
      </c>
      <c r="G2011" s="377">
        <f>C2011*F2011</f>
        <v>1658522.25</v>
      </c>
      <c r="H2011" s="377"/>
    </row>
    <row r="2012" spans="1:8">
      <c r="A2012" s="376">
        <f>A2011+1</f>
        <v>2</v>
      </c>
      <c r="B2012" s="375" t="s">
        <v>445</v>
      </c>
      <c r="C2012" s="377">
        <v>1595</v>
      </c>
      <c r="D2012" s="378" t="s">
        <v>84</v>
      </c>
      <c r="E2012" s="378" t="s">
        <v>82</v>
      </c>
      <c r="F2012" s="377">
        <v>3200.16</v>
      </c>
      <c r="G2012" s="377">
        <f>C2012*F2012</f>
        <v>5104255.2</v>
      </c>
      <c r="H2012" s="377"/>
    </row>
    <row r="2013" spans="1:8">
      <c r="A2013" s="376">
        <f>A2012+1</f>
        <v>3</v>
      </c>
      <c r="B2013" s="375" t="s">
        <v>446</v>
      </c>
      <c r="C2013" s="377">
        <f>42*16.5</f>
        <v>693</v>
      </c>
      <c r="D2013" s="378" t="s">
        <v>84</v>
      </c>
      <c r="E2013" s="378" t="s">
        <v>82</v>
      </c>
      <c r="F2013" s="377">
        <v>3200.16</v>
      </c>
      <c r="G2013" s="377">
        <f>C2013*F2013</f>
        <v>2217710.88</v>
      </c>
      <c r="H2013" s="377"/>
    </row>
    <row r="2014" spans="1:8">
      <c r="A2014" s="376">
        <f>A2013+1</f>
        <v>4</v>
      </c>
      <c r="B2014" s="375" t="s">
        <v>447</v>
      </c>
      <c r="C2014" s="377">
        <v>124.74</v>
      </c>
      <c r="D2014" s="378" t="s">
        <v>81</v>
      </c>
      <c r="E2014" s="378" t="s">
        <v>448</v>
      </c>
      <c r="F2014" s="377">
        <v>77424.05</v>
      </c>
      <c r="G2014" s="377">
        <f>C2014*F2014</f>
        <v>9657875.9969999995</v>
      </c>
      <c r="H2014" s="380">
        <f>SUM(G2011:G2014)</f>
        <v>18638364.327</v>
      </c>
    </row>
    <row r="2015" spans="1:8">
      <c r="A2015" s="376"/>
      <c r="B2015" s="375"/>
      <c r="C2015" s="377"/>
      <c r="D2015" s="378"/>
      <c r="E2015" s="378"/>
      <c r="F2015" s="1607"/>
      <c r="G2015" s="1607"/>
      <c r="H2015" s="380"/>
    </row>
    <row r="2016" spans="1:8">
      <c r="A2016" s="373" t="s">
        <v>73</v>
      </c>
      <c r="B2016" s="374" t="s">
        <v>449</v>
      </c>
      <c r="C2016" s="377"/>
      <c r="D2016" s="378"/>
      <c r="E2016" s="378"/>
      <c r="F2016" s="377"/>
      <c r="G2016" s="377"/>
      <c r="H2016" s="377"/>
    </row>
    <row r="2017" spans="1:8">
      <c r="A2017" s="376">
        <v>1</v>
      </c>
      <c r="B2017" s="375" t="s">
        <v>450</v>
      </c>
      <c r="C2017" s="377">
        <f>42*16.5*0.5</f>
        <v>346.5</v>
      </c>
      <c r="D2017" s="378" t="s">
        <v>81</v>
      </c>
      <c r="E2017" s="378" t="s">
        <v>82</v>
      </c>
      <c r="F2017" s="377">
        <v>4786.5</v>
      </c>
      <c r="G2017" s="377">
        <f>C2017*F2017</f>
        <v>1658522.25</v>
      </c>
      <c r="H2017" s="377"/>
    </row>
    <row r="2018" spans="1:8">
      <c r="A2018" s="376">
        <f>A2017+1</f>
        <v>2</v>
      </c>
      <c r="B2018" s="375" t="s">
        <v>451</v>
      </c>
      <c r="C2018" s="377">
        <v>1595</v>
      </c>
      <c r="D2018" s="378" t="s">
        <v>84</v>
      </c>
      <c r="E2018" s="378" t="s">
        <v>82</v>
      </c>
      <c r="F2018" s="377">
        <v>3200.16</v>
      </c>
      <c r="G2018" s="377">
        <f>C2018*F2018</f>
        <v>5104255.2</v>
      </c>
      <c r="H2018" s="377"/>
    </row>
    <row r="2019" spans="1:8">
      <c r="A2019" s="376">
        <f>A2018+1</f>
        <v>3</v>
      </c>
      <c r="B2019" s="375" t="s">
        <v>452</v>
      </c>
      <c r="C2019" s="377">
        <f>42*16.5</f>
        <v>693</v>
      </c>
      <c r="D2019" s="378" t="s">
        <v>84</v>
      </c>
      <c r="E2019" s="378" t="s">
        <v>82</v>
      </c>
      <c r="F2019" s="377">
        <v>3200.16</v>
      </c>
      <c r="G2019" s="377">
        <f>C2019*F2019</f>
        <v>2217710.88</v>
      </c>
      <c r="H2019" s="377"/>
    </row>
    <row r="2020" spans="1:8">
      <c r="A2020" s="376">
        <f>A2019+1</f>
        <v>4</v>
      </c>
      <c r="B2020" s="375" t="s">
        <v>453</v>
      </c>
      <c r="C2020" s="377">
        <v>124.74</v>
      </c>
      <c r="D2020" s="378" t="s">
        <v>81</v>
      </c>
      <c r="E2020" s="378" t="s">
        <v>448</v>
      </c>
      <c r="F2020" s="377">
        <v>77424.05</v>
      </c>
      <c r="G2020" s="377">
        <f>C2020*F2020</f>
        <v>9657875.9969999995</v>
      </c>
      <c r="H2020" s="380">
        <f>SUM(G2017:G2020)</f>
        <v>18638364.327</v>
      </c>
    </row>
    <row r="2021" spans="1:8">
      <c r="A2021" s="376"/>
      <c r="B2021" s="375"/>
      <c r="C2021" s="377"/>
      <c r="D2021" s="378"/>
      <c r="E2021" s="378"/>
      <c r="F2021" s="1607"/>
      <c r="G2021" s="1607"/>
      <c r="H2021" s="380"/>
    </row>
    <row r="2022" spans="1:8">
      <c r="A2022" s="373" t="s">
        <v>78</v>
      </c>
      <c r="B2022" s="374" t="s">
        <v>454</v>
      </c>
      <c r="C2022" s="377"/>
      <c r="D2022" s="378"/>
      <c r="E2022" s="378"/>
      <c r="F2022" s="381"/>
      <c r="G2022" s="381"/>
      <c r="H2022" s="380"/>
    </row>
    <row r="2023" spans="1:8">
      <c r="A2023" s="376">
        <v>1</v>
      </c>
      <c r="B2023" s="375" t="s">
        <v>455</v>
      </c>
      <c r="C2023" s="377">
        <v>2</v>
      </c>
      <c r="D2023" s="378" t="s">
        <v>51</v>
      </c>
      <c r="E2023" s="378" t="s">
        <v>51</v>
      </c>
      <c r="F2023" s="377">
        <v>250000</v>
      </c>
      <c r="G2023" s="377">
        <f>C2023*F2023</f>
        <v>500000</v>
      </c>
      <c r="H2023" s="377"/>
    </row>
    <row r="2024" spans="1:8">
      <c r="A2024" s="376">
        <f>A2023+1</f>
        <v>2</v>
      </c>
      <c r="B2024" s="375" t="s">
        <v>456</v>
      </c>
      <c r="C2024" s="377">
        <v>1</v>
      </c>
      <c r="D2024" s="378" t="s">
        <v>223</v>
      </c>
      <c r="E2024" s="378" t="s">
        <v>51</v>
      </c>
      <c r="F2024" s="377">
        <v>200000</v>
      </c>
      <c r="G2024" s="377">
        <f>C2024*F2024</f>
        <v>200000</v>
      </c>
      <c r="H2024" s="377"/>
    </row>
    <row r="2025" spans="1:8">
      <c r="A2025" s="376">
        <f>A2024+1</f>
        <v>3</v>
      </c>
      <c r="B2025" s="375" t="s">
        <v>457</v>
      </c>
      <c r="C2025" s="377">
        <v>1</v>
      </c>
      <c r="D2025" s="378" t="s">
        <v>51</v>
      </c>
      <c r="E2025" s="378" t="s">
        <v>51</v>
      </c>
      <c r="F2025" s="377">
        <v>350000</v>
      </c>
      <c r="G2025" s="377">
        <f>C2025*F2025</f>
        <v>350000</v>
      </c>
      <c r="H2025" s="377"/>
    </row>
    <row r="2026" spans="1:8">
      <c r="A2026" s="382">
        <f>A2025+1</f>
        <v>4</v>
      </c>
      <c r="B2026" s="274" t="s">
        <v>458</v>
      </c>
      <c r="C2026" s="276">
        <v>1</v>
      </c>
      <c r="D2026" s="383" t="s">
        <v>51</v>
      </c>
      <c r="E2026" s="383" t="s">
        <v>51</v>
      </c>
      <c r="F2026" s="276">
        <v>125000</v>
      </c>
      <c r="G2026" s="276">
        <f>C2026*F2026</f>
        <v>125000</v>
      </c>
      <c r="H2026" s="275">
        <f>SUM(G2023:G2026)</f>
        <v>1175000</v>
      </c>
    </row>
    <row r="2027" spans="1:8" ht="12.6" thickBot="1">
      <c r="A2027" s="384"/>
      <c r="B2027" s="385"/>
      <c r="C2027" s="386"/>
      <c r="D2027" s="385"/>
      <c r="E2027" s="385"/>
      <c r="F2027" s="1608"/>
      <c r="G2027" s="1609"/>
      <c r="H2027" s="387"/>
    </row>
    <row r="2028" spans="1:8">
      <c r="A2028" s="388"/>
      <c r="B2028" s="258"/>
      <c r="C2028" s="389"/>
      <c r="D2028" s="258"/>
      <c r="E2028" s="390"/>
      <c r="F2028" s="391" t="s">
        <v>459</v>
      </c>
      <c r="G2028" s="392"/>
      <c r="H2028" s="392">
        <f>SUM(H2003:H2027)</f>
        <v>42301728.653999999</v>
      </c>
    </row>
    <row r="2029" spans="1:8">
      <c r="A2029" s="393" t="s">
        <v>27</v>
      </c>
      <c r="B2029" s="394"/>
      <c r="C2029" s="394"/>
      <c r="D2029" s="394"/>
      <c r="E2029" s="395"/>
      <c r="F2029" s="391" t="s">
        <v>460</v>
      </c>
      <c r="G2029" s="392"/>
      <c r="H2029" s="392">
        <f>H2028*10%</f>
        <v>4230172.8654000005</v>
      </c>
    </row>
    <row r="2030" spans="1:8">
      <c r="A2030" s="393"/>
      <c r="B2030" s="396" t="s">
        <v>461</v>
      </c>
      <c r="C2030" s="394"/>
      <c r="D2030" s="394"/>
      <c r="E2030" s="395"/>
      <c r="F2030" s="391" t="s">
        <v>462</v>
      </c>
      <c r="G2030" s="392"/>
      <c r="H2030" s="392">
        <f>SUM(H2028:H2029)</f>
        <v>46531901.519400001</v>
      </c>
    </row>
    <row r="2031" spans="1:8">
      <c r="A2031" s="307"/>
      <c r="B2031" s="309"/>
      <c r="C2031" s="397"/>
      <c r="D2031" s="397"/>
      <c r="E2031" s="398"/>
      <c r="F2031" s="399" t="s">
        <v>30</v>
      </c>
      <c r="G2031" s="312"/>
      <c r="H2031" s="312">
        <f>ROUND(H2030,-2)</f>
        <v>46531900</v>
      </c>
    </row>
    <row r="2032" spans="1:8">
      <c r="A2032" s="6"/>
      <c r="B2032" s="6"/>
      <c r="C2032" s="6"/>
      <c r="D2032" s="6"/>
      <c r="E2032" s="6"/>
      <c r="F2032" s="6"/>
      <c r="G2032" s="6"/>
      <c r="H2032" s="6"/>
    </row>
    <row r="2033" spans="1:8">
      <c r="A2033" s="6"/>
      <c r="B2033" s="6"/>
      <c r="C2033" s="6"/>
      <c r="D2033" s="6"/>
      <c r="E2033" s="6"/>
      <c r="F2033" s="6"/>
      <c r="G2033" s="1591" t="s">
        <v>463</v>
      </c>
      <c r="H2033" s="1591"/>
    </row>
    <row r="2034" spans="1:8">
      <c r="A2034" s="1591" t="s">
        <v>234</v>
      </c>
      <c r="B2034" s="1591"/>
      <c r="C2034" s="1591" t="s">
        <v>32</v>
      </c>
      <c r="D2034" s="1591"/>
      <c r="E2034" s="1591"/>
      <c r="F2034" s="6"/>
      <c r="G2034" s="1591" t="s">
        <v>33</v>
      </c>
      <c r="H2034" s="1591"/>
    </row>
    <row r="2035" spans="1:8">
      <c r="A2035" s="6"/>
      <c r="B2035" s="6"/>
      <c r="C2035" s="6"/>
      <c r="D2035" s="6"/>
      <c r="E2035" s="6"/>
      <c r="F2035" s="6"/>
      <c r="G2035" s="6"/>
      <c r="H2035" s="6"/>
    </row>
    <row r="2036" spans="1:8">
      <c r="A2036" s="6"/>
      <c r="B2036" s="6"/>
      <c r="C2036" s="6"/>
      <c r="D2036" s="6"/>
      <c r="E2036" s="6"/>
      <c r="F2036" s="6"/>
      <c r="G2036" s="6"/>
      <c r="H2036" s="6"/>
    </row>
    <row r="2037" spans="1:8">
      <c r="A2037" s="6"/>
      <c r="B2037" s="6"/>
      <c r="C2037" s="6"/>
      <c r="D2037" s="6"/>
      <c r="E2037" s="6"/>
      <c r="F2037" s="6"/>
      <c r="G2037" s="6"/>
      <c r="H2037" s="6"/>
    </row>
    <row r="2038" spans="1:8">
      <c r="A2038" s="1590" t="s">
        <v>34</v>
      </c>
      <c r="B2038" s="1590"/>
      <c r="C2038" s="1590" t="s">
        <v>35</v>
      </c>
      <c r="D2038" s="1590"/>
      <c r="E2038" s="1590"/>
      <c r="F2038" s="6"/>
      <c r="G2038" s="1590" t="s">
        <v>36</v>
      </c>
      <c r="H2038" s="1590"/>
    </row>
    <row r="2039" spans="1:8">
      <c r="A2039" s="1591" t="s">
        <v>37</v>
      </c>
      <c r="B2039" s="1591"/>
      <c r="C2039" s="1591" t="s">
        <v>38</v>
      </c>
      <c r="D2039" s="1591"/>
      <c r="E2039" s="1591"/>
      <c r="F2039" s="6"/>
      <c r="G2039" s="1591" t="s">
        <v>39</v>
      </c>
      <c r="H2039" s="1591"/>
    </row>
    <row r="2040" spans="1:8">
      <c r="A2040" s="6"/>
      <c r="B2040" s="6"/>
      <c r="C2040" s="6"/>
      <c r="D2040" s="6"/>
      <c r="E2040" s="6"/>
      <c r="F2040" s="6"/>
      <c r="G2040" s="6"/>
      <c r="H2040" s="6"/>
    </row>
    <row r="2041" spans="1:8">
      <c r="A2041" s="6"/>
      <c r="B2041" s="6"/>
      <c r="C2041" s="6"/>
      <c r="D2041" s="6"/>
      <c r="E2041" s="6"/>
      <c r="F2041" s="6"/>
      <c r="G2041" s="6"/>
      <c r="H2041" s="6"/>
    </row>
    <row r="2044" spans="1:8">
      <c r="A2044" s="6"/>
      <c r="B2044" s="6"/>
      <c r="C2044" s="6"/>
      <c r="D2044" s="6"/>
      <c r="E2044" s="6"/>
      <c r="F2044" s="6"/>
      <c r="G2044" s="6"/>
      <c r="H2044" s="6"/>
    </row>
    <row r="2045" spans="1:8">
      <c r="A2045" s="6"/>
      <c r="B2045" s="6"/>
      <c r="C2045" s="6"/>
      <c r="D2045" s="6"/>
      <c r="E2045" s="6"/>
      <c r="F2045" s="6"/>
      <c r="G2045" s="6"/>
      <c r="H2045" s="6"/>
    </row>
    <row r="2046" spans="1:8">
      <c r="A2046" s="1594" t="s">
        <v>464</v>
      </c>
      <c r="B2046" s="1591"/>
      <c r="C2046" s="1591"/>
      <c r="D2046" s="1591"/>
      <c r="E2046" s="1591"/>
      <c r="F2046" s="1591"/>
      <c r="G2046" s="1591"/>
      <c r="H2046" s="1591"/>
    </row>
    <row r="2047" spans="1:8">
      <c r="A2047" s="1594" t="s">
        <v>465</v>
      </c>
      <c r="B2047" s="1594"/>
      <c r="C2047" s="1594"/>
      <c r="D2047" s="1594"/>
      <c r="E2047" s="1594"/>
      <c r="F2047" s="1594"/>
      <c r="G2047" s="1594"/>
      <c r="H2047" s="1594"/>
    </row>
    <row r="2048" spans="1:8">
      <c r="A2048" s="1594" t="s">
        <v>466</v>
      </c>
      <c r="B2048" s="1594"/>
      <c r="C2048" s="1594"/>
      <c r="D2048" s="1594"/>
      <c r="E2048" s="1594"/>
      <c r="F2048" s="1594"/>
      <c r="G2048" s="1594"/>
      <c r="H2048" s="1594"/>
    </row>
    <row r="2049" spans="1:8">
      <c r="A2049" s="7"/>
      <c r="B2049" s="7"/>
      <c r="C2049" s="7"/>
      <c r="D2049" s="7"/>
      <c r="E2049" s="7"/>
      <c r="F2049" s="7"/>
      <c r="G2049" s="7"/>
      <c r="H2049" s="7"/>
    </row>
    <row r="2050" spans="1:8">
      <c r="A2050" s="7"/>
      <c r="B2050" s="7"/>
      <c r="C2050" s="7"/>
      <c r="D2050" s="7"/>
      <c r="E2050" s="7"/>
      <c r="F2050" s="7"/>
      <c r="G2050" s="7"/>
      <c r="H2050" s="7"/>
    </row>
    <row r="2051" spans="1:8">
      <c r="A2051" s="1599" t="s">
        <v>3</v>
      </c>
      <c r="B2051" s="1599" t="s">
        <v>4</v>
      </c>
      <c r="C2051" s="1599" t="s">
        <v>5</v>
      </c>
      <c r="D2051" s="1599" t="s">
        <v>6</v>
      </c>
      <c r="E2051" s="1599" t="s">
        <v>7</v>
      </c>
      <c r="F2051" s="271" t="s">
        <v>8</v>
      </c>
      <c r="G2051" s="271" t="s">
        <v>9</v>
      </c>
      <c r="H2051" s="271" t="s">
        <v>10</v>
      </c>
    </row>
    <row r="2052" spans="1:8">
      <c r="A2052" s="1589"/>
      <c r="B2052" s="1589"/>
      <c r="C2052" s="1589"/>
      <c r="D2052" s="1589"/>
      <c r="E2052" s="1589"/>
      <c r="F2052" s="243" t="s">
        <v>11</v>
      </c>
      <c r="G2052" s="243" t="s">
        <v>11</v>
      </c>
      <c r="H2052" s="243" t="s">
        <v>11</v>
      </c>
    </row>
    <row r="2053" spans="1:8">
      <c r="A2053" s="292" t="s">
        <v>12</v>
      </c>
      <c r="B2053" s="401" t="s">
        <v>364</v>
      </c>
      <c r="C2053" s="313"/>
      <c r="D2053" s="249"/>
      <c r="E2053" s="249"/>
      <c r="F2053" s="249"/>
      <c r="G2053" s="392"/>
      <c r="H2053" s="255"/>
    </row>
    <row r="2054" spans="1:8">
      <c r="A2054" s="256">
        <v>1</v>
      </c>
      <c r="B2054" s="313" t="s">
        <v>467</v>
      </c>
      <c r="C2054" s="402">
        <v>1</v>
      </c>
      <c r="D2054" s="248" t="s">
        <v>403</v>
      </c>
      <c r="E2054" s="248" t="s">
        <v>126</v>
      </c>
      <c r="F2054" s="403">
        <v>0</v>
      </c>
      <c r="G2054" s="250">
        <f>C2054*F2054</f>
        <v>0</v>
      </c>
      <c r="H2054" s="255" t="s">
        <v>468</v>
      </c>
    </row>
    <row r="2055" spans="1:8">
      <c r="A2055" s="293">
        <f>A2054+1</f>
        <v>2</v>
      </c>
      <c r="B2055" s="313" t="s">
        <v>469</v>
      </c>
      <c r="C2055" s="402">
        <v>1</v>
      </c>
      <c r="D2055" s="248" t="s">
        <v>403</v>
      </c>
      <c r="E2055" s="248" t="s">
        <v>126</v>
      </c>
      <c r="F2055" s="403">
        <v>0</v>
      </c>
      <c r="G2055" s="250">
        <f>C2055*F2055</f>
        <v>0</v>
      </c>
      <c r="H2055" s="255" t="s">
        <v>468</v>
      </c>
    </row>
    <row r="2056" spans="1:8">
      <c r="A2056" s="293">
        <f>A2055+1</f>
        <v>3</v>
      </c>
      <c r="B2056" s="404" t="s">
        <v>470</v>
      </c>
      <c r="C2056" s="402">
        <v>1</v>
      </c>
      <c r="D2056" s="248" t="s">
        <v>403</v>
      </c>
      <c r="E2056" s="248" t="s">
        <v>126</v>
      </c>
      <c r="F2056" s="403">
        <v>0</v>
      </c>
      <c r="G2056" s="250">
        <f>C2056*F2056</f>
        <v>0</v>
      </c>
      <c r="H2056" s="255" t="s">
        <v>468</v>
      </c>
    </row>
    <row r="2057" spans="1:8">
      <c r="A2057" s="293">
        <f>A2056+1</f>
        <v>4</v>
      </c>
      <c r="B2057" s="404" t="s">
        <v>471</v>
      </c>
      <c r="C2057" s="402">
        <v>1.5</v>
      </c>
      <c r="D2057" s="248" t="s">
        <v>179</v>
      </c>
      <c r="E2057" s="248" t="s">
        <v>126</v>
      </c>
      <c r="F2057" s="403">
        <v>0</v>
      </c>
      <c r="G2057" s="250">
        <f>C2057*F2057</f>
        <v>0</v>
      </c>
      <c r="H2057" s="255" t="s">
        <v>468</v>
      </c>
    </row>
    <row r="2058" spans="1:8">
      <c r="A2058" s="280"/>
      <c r="B2058" s="314"/>
      <c r="C2058" s="314"/>
      <c r="D2058" s="283" t="s">
        <v>368</v>
      </c>
      <c r="E2058" s="284"/>
      <c r="F2058" s="405"/>
      <c r="G2058" s="298"/>
      <c r="H2058" s="276">
        <f>SUM(G2054:G2055)</f>
        <v>0</v>
      </c>
    </row>
    <row r="2059" spans="1:8">
      <c r="A2059" s="286"/>
      <c r="B2059" s="315"/>
      <c r="C2059" s="315"/>
      <c r="D2059" s="289"/>
      <c r="E2059" s="289"/>
      <c r="F2059" s="406"/>
      <c r="G2059" s="407"/>
      <c r="H2059" s="291"/>
    </row>
    <row r="2060" spans="1:8">
      <c r="A2060" s="292" t="s">
        <v>18</v>
      </c>
      <c r="B2060" s="408" t="s">
        <v>406</v>
      </c>
      <c r="C2060" s="313"/>
      <c r="D2060" s="248"/>
      <c r="E2060" s="248"/>
      <c r="F2060" s="249"/>
      <c r="G2060" s="250"/>
      <c r="H2060" s="255"/>
    </row>
    <row r="2061" spans="1:8">
      <c r="A2061" s="293">
        <v>1</v>
      </c>
      <c r="B2061" s="313" t="s">
        <v>472</v>
      </c>
      <c r="C2061" s="409">
        <v>2</v>
      </c>
      <c r="D2061" s="248" t="s">
        <v>403</v>
      </c>
      <c r="E2061" s="248" t="s">
        <v>408</v>
      </c>
      <c r="F2061" s="250">
        <v>175000</v>
      </c>
      <c r="G2061" s="250">
        <f t="shared" ref="G2061:G2073" si="25">C2061*F2061</f>
        <v>350000</v>
      </c>
      <c r="H2061" s="255"/>
    </row>
    <row r="2062" spans="1:8">
      <c r="A2062" s="293">
        <f t="shared" ref="A2062:A2073" si="26">A2061+1</f>
        <v>2</v>
      </c>
      <c r="B2062" s="313" t="s">
        <v>473</v>
      </c>
      <c r="C2062" s="409">
        <f>2*(3.14*0.2)</f>
        <v>1.2560000000000002</v>
      </c>
      <c r="D2062" s="248" t="s">
        <v>474</v>
      </c>
      <c r="E2062" s="248" t="s">
        <v>408</v>
      </c>
      <c r="F2062" s="250">
        <f>49076.36*1.5</f>
        <v>73614.540000000008</v>
      </c>
      <c r="G2062" s="250">
        <f t="shared" si="25"/>
        <v>92459.862240000031</v>
      </c>
      <c r="H2062" s="255"/>
    </row>
    <row r="2063" spans="1:8">
      <c r="A2063" s="293">
        <f t="shared" si="26"/>
        <v>3</v>
      </c>
      <c r="B2063" s="313" t="s">
        <v>475</v>
      </c>
      <c r="C2063" s="409">
        <f>2*(3.14*0.25)</f>
        <v>1.57</v>
      </c>
      <c r="D2063" s="248" t="s">
        <v>474</v>
      </c>
      <c r="E2063" s="248" t="s">
        <v>408</v>
      </c>
      <c r="F2063" s="250">
        <f>49076.36*1.5</f>
        <v>73614.540000000008</v>
      </c>
      <c r="G2063" s="250">
        <f t="shared" si="25"/>
        <v>115574.82780000001</v>
      </c>
      <c r="H2063" s="255"/>
    </row>
    <row r="2064" spans="1:8">
      <c r="A2064" s="293">
        <f t="shared" si="26"/>
        <v>4</v>
      </c>
      <c r="B2064" s="313" t="s">
        <v>476</v>
      </c>
      <c r="C2064" s="409">
        <f>3*(3.14*0.2)</f>
        <v>1.8840000000000003</v>
      </c>
      <c r="D2064" s="248" t="s">
        <v>474</v>
      </c>
      <c r="E2064" s="248" t="s">
        <v>408</v>
      </c>
      <c r="F2064" s="250">
        <v>208047.9</v>
      </c>
      <c r="G2064" s="250">
        <f t="shared" si="25"/>
        <v>391962.24360000005</v>
      </c>
      <c r="H2064" s="255"/>
    </row>
    <row r="2065" spans="1:8">
      <c r="A2065" s="293">
        <f t="shared" si="26"/>
        <v>5</v>
      </c>
      <c r="B2065" s="313" t="s">
        <v>477</v>
      </c>
      <c r="C2065" s="409">
        <f>3*(3.14*0.25)</f>
        <v>2.355</v>
      </c>
      <c r="D2065" s="248" t="s">
        <v>474</v>
      </c>
      <c r="E2065" s="248" t="s">
        <v>408</v>
      </c>
      <c r="F2065" s="250">
        <v>208047.9</v>
      </c>
      <c r="G2065" s="250">
        <f t="shared" si="25"/>
        <v>489952.80449999997</v>
      </c>
      <c r="H2065" s="255"/>
    </row>
    <row r="2066" spans="1:8">
      <c r="A2066" s="293">
        <f t="shared" si="26"/>
        <v>6</v>
      </c>
      <c r="B2066" s="313" t="s">
        <v>478</v>
      </c>
      <c r="C2066" s="409">
        <v>72</v>
      </c>
      <c r="D2066" s="248" t="s">
        <v>479</v>
      </c>
      <c r="E2066" s="248" t="s">
        <v>408</v>
      </c>
      <c r="F2066" s="250">
        <f>7645.32*1.5</f>
        <v>11467.98</v>
      </c>
      <c r="G2066" s="250">
        <f t="shared" si="25"/>
        <v>825694.55999999994</v>
      </c>
      <c r="H2066" s="255"/>
    </row>
    <row r="2067" spans="1:8">
      <c r="A2067" s="293">
        <f t="shared" si="26"/>
        <v>7</v>
      </c>
      <c r="B2067" s="313" t="s">
        <v>480</v>
      </c>
      <c r="C2067" s="409">
        <v>1</v>
      </c>
      <c r="D2067" s="248" t="s">
        <v>403</v>
      </c>
      <c r="E2067" s="248" t="s">
        <v>408</v>
      </c>
      <c r="F2067" s="250">
        <f>288380*1.5</f>
        <v>432570</v>
      </c>
      <c r="G2067" s="250">
        <f t="shared" si="25"/>
        <v>432570</v>
      </c>
      <c r="H2067" s="255"/>
    </row>
    <row r="2068" spans="1:8">
      <c r="A2068" s="293">
        <f t="shared" si="26"/>
        <v>8</v>
      </c>
      <c r="B2068" s="313" t="s">
        <v>481</v>
      </c>
      <c r="C2068" s="409">
        <v>1</v>
      </c>
      <c r="D2068" s="248" t="s">
        <v>403</v>
      </c>
      <c r="E2068" s="248" t="s">
        <v>408</v>
      </c>
      <c r="F2068" s="250">
        <f>288380*1.5</f>
        <v>432570</v>
      </c>
      <c r="G2068" s="250">
        <f t="shared" si="25"/>
        <v>432570</v>
      </c>
      <c r="H2068" s="255"/>
    </row>
    <row r="2069" spans="1:8">
      <c r="A2069" s="293">
        <f t="shared" si="26"/>
        <v>9</v>
      </c>
      <c r="B2069" s="313" t="s">
        <v>482</v>
      </c>
      <c r="C2069" s="409">
        <v>1</v>
      </c>
      <c r="D2069" s="248" t="s">
        <v>403</v>
      </c>
      <c r="E2069" s="248" t="s">
        <v>408</v>
      </c>
      <c r="F2069" s="250">
        <f>288380*1.5*1.5</f>
        <v>648855</v>
      </c>
      <c r="G2069" s="250">
        <f t="shared" si="25"/>
        <v>648855</v>
      </c>
      <c r="H2069" s="255"/>
    </row>
    <row r="2070" spans="1:8">
      <c r="A2070" s="293">
        <f t="shared" si="26"/>
        <v>10</v>
      </c>
      <c r="B2070" s="313" t="s">
        <v>483</v>
      </c>
      <c r="C2070" s="409">
        <v>1</v>
      </c>
      <c r="D2070" s="248" t="s">
        <v>416</v>
      </c>
      <c r="E2070" s="248" t="s">
        <v>410</v>
      </c>
      <c r="F2070" s="250">
        <v>350000</v>
      </c>
      <c r="G2070" s="250">
        <f t="shared" si="25"/>
        <v>350000</v>
      </c>
      <c r="H2070" s="255"/>
    </row>
    <row r="2071" spans="1:8">
      <c r="A2071" s="293">
        <f t="shared" si="26"/>
        <v>11</v>
      </c>
      <c r="B2071" s="410" t="s">
        <v>484</v>
      </c>
      <c r="C2071" s="409">
        <v>1</v>
      </c>
      <c r="D2071" s="248" t="s">
        <v>416</v>
      </c>
      <c r="E2071" s="248" t="s">
        <v>410</v>
      </c>
      <c r="F2071" s="250">
        <v>250000</v>
      </c>
      <c r="G2071" s="250">
        <f t="shared" si="25"/>
        <v>250000</v>
      </c>
      <c r="H2071" s="255"/>
    </row>
    <row r="2072" spans="1:8">
      <c r="A2072" s="293">
        <f t="shared" si="26"/>
        <v>12</v>
      </c>
      <c r="B2072" s="410" t="s">
        <v>458</v>
      </c>
      <c r="C2072" s="409">
        <v>1</v>
      </c>
      <c r="D2072" s="248" t="s">
        <v>410</v>
      </c>
      <c r="E2072" s="248" t="s">
        <v>410</v>
      </c>
      <c r="F2072" s="250">
        <v>100000</v>
      </c>
      <c r="G2072" s="250">
        <f t="shared" si="25"/>
        <v>100000</v>
      </c>
      <c r="H2072" s="255"/>
    </row>
    <row r="2073" spans="1:8">
      <c r="A2073" s="293">
        <f t="shared" si="26"/>
        <v>13</v>
      </c>
      <c r="B2073" s="410" t="s">
        <v>485</v>
      </c>
      <c r="C2073" s="409">
        <v>1</v>
      </c>
      <c r="D2073" s="248" t="s">
        <v>416</v>
      </c>
      <c r="E2073" s="248" t="s">
        <v>410</v>
      </c>
      <c r="F2073" s="250">
        <v>100000</v>
      </c>
      <c r="G2073" s="250">
        <f t="shared" si="25"/>
        <v>100000</v>
      </c>
      <c r="H2073" s="255"/>
    </row>
    <row r="2074" spans="1:8">
      <c r="A2074" s="295"/>
      <c r="B2074" s="411"/>
      <c r="C2074" s="296"/>
      <c r="D2074" s="297" t="s">
        <v>486</v>
      </c>
      <c r="E2074" s="284"/>
      <c r="F2074" s="296"/>
      <c r="G2074" s="285"/>
      <c r="H2074" s="273">
        <f>SUM(G2061:G2073)</f>
        <v>4579639.2981400006</v>
      </c>
    </row>
    <row r="2075" spans="1:8">
      <c r="A2075" s="412"/>
      <c r="B2075" s="300"/>
      <c r="C2075" s="413"/>
      <c r="D2075" s="301"/>
      <c r="E2075" s="289"/>
      <c r="F2075" s="413"/>
      <c r="G2075" s="290" t="s">
        <v>26</v>
      </c>
      <c r="H2075" s="303">
        <f>H2074/10</f>
        <v>457963.92981400003</v>
      </c>
    </row>
    <row r="2076" spans="1:8">
      <c r="A2076" s="414" t="s">
        <v>27</v>
      </c>
      <c r="B2076" s="305"/>
      <c r="C2076" s="305"/>
      <c r="D2076" s="305"/>
      <c r="E2076" s="305"/>
      <c r="F2076" s="306"/>
      <c r="G2076" s="274" t="s">
        <v>28</v>
      </c>
      <c r="H2076" s="275">
        <f>SUM(H2074:H2075)</f>
        <v>5037603.2279540002</v>
      </c>
    </row>
    <row r="2077" spans="1:8">
      <c r="A2077" s="307"/>
      <c r="B2077" s="309" t="e">
        <f ca="1">[2]!terbilang(H2077)</f>
        <v>#REF!</v>
      </c>
      <c r="C2077" s="309"/>
      <c r="D2077" s="309"/>
      <c r="E2077" s="309"/>
      <c r="F2077" s="310"/>
      <c r="G2077" s="311" t="s">
        <v>30</v>
      </c>
      <c r="H2077" s="312">
        <f>ROUND(H2076,-3)</f>
        <v>5038000</v>
      </c>
    </row>
    <row r="2078" spans="1:8">
      <c r="A2078" s="131"/>
      <c r="B2078" s="131"/>
      <c r="C2078" s="131"/>
      <c r="D2078" s="131"/>
      <c r="E2078" s="131"/>
      <c r="F2078" s="131"/>
      <c r="G2078" s="131"/>
      <c r="H2078" s="132"/>
    </row>
    <row r="2079" spans="1:8">
      <c r="A2079" s="6"/>
      <c r="B2079" s="6"/>
      <c r="C2079" s="6"/>
      <c r="D2079" s="6"/>
      <c r="E2079" s="6"/>
      <c r="F2079" s="6"/>
      <c r="G2079" s="1591" t="s">
        <v>487</v>
      </c>
      <c r="H2079" s="1591"/>
    </row>
    <row r="2080" spans="1:8">
      <c r="A2080" s="1591" t="s">
        <v>234</v>
      </c>
      <c r="B2080" s="1591"/>
      <c r="C2080" s="1591" t="s">
        <v>32</v>
      </c>
      <c r="D2080" s="1591"/>
      <c r="E2080" s="1591"/>
      <c r="F2080" s="6"/>
      <c r="G2080" s="1591" t="s">
        <v>488</v>
      </c>
      <c r="H2080" s="1591"/>
    </row>
    <row r="2081" spans="1:8">
      <c r="A2081" s="6"/>
      <c r="B2081" s="6"/>
      <c r="C2081" s="6"/>
      <c r="D2081" s="6"/>
      <c r="E2081" s="6"/>
      <c r="F2081" s="6"/>
      <c r="G2081" s="6"/>
      <c r="H2081" s="6"/>
    </row>
    <row r="2082" spans="1:8">
      <c r="A2082" s="6"/>
      <c r="B2082" s="6"/>
      <c r="C2082" s="6"/>
      <c r="D2082" s="6"/>
      <c r="E2082" s="6"/>
      <c r="F2082" s="6"/>
      <c r="G2082" s="6"/>
      <c r="H2082" s="6"/>
    </row>
    <row r="2083" spans="1:8">
      <c r="A2083" s="6"/>
      <c r="B2083" s="6"/>
      <c r="C2083" s="6"/>
      <c r="D2083" s="6"/>
      <c r="E2083" s="6"/>
      <c r="F2083" s="6"/>
      <c r="G2083" s="6"/>
      <c r="H2083" s="6"/>
    </row>
    <row r="2084" spans="1:8">
      <c r="A2084" s="1616" t="s">
        <v>489</v>
      </c>
      <c r="B2084" s="1616"/>
      <c r="C2084" s="1616" t="s">
        <v>490</v>
      </c>
      <c r="D2084" s="1616"/>
      <c r="E2084" s="1616"/>
      <c r="F2084" s="6"/>
      <c r="G2084" s="1616" t="s">
        <v>491</v>
      </c>
      <c r="H2084" s="1616"/>
    </row>
    <row r="2085" spans="1:8">
      <c r="A2085" s="1591" t="s">
        <v>37</v>
      </c>
      <c r="B2085" s="1591"/>
      <c r="C2085" s="1591" t="s">
        <v>492</v>
      </c>
      <c r="D2085" s="1591"/>
      <c r="E2085" s="1591"/>
      <c r="F2085" s="6"/>
      <c r="G2085" s="1591" t="s">
        <v>39</v>
      </c>
      <c r="H2085" s="1591"/>
    </row>
    <row r="2086" spans="1:8">
      <c r="A2086" s="6"/>
      <c r="B2086" s="6"/>
      <c r="C2086" s="6"/>
      <c r="D2086" s="6"/>
      <c r="E2086" s="6"/>
      <c r="F2086" s="6"/>
      <c r="G2086" s="6"/>
      <c r="H2086" s="6"/>
    </row>
    <row r="2087" spans="1:8">
      <c r="A2087" s="6"/>
      <c r="B2087" s="6"/>
      <c r="C2087" s="6"/>
      <c r="D2087" s="6"/>
      <c r="E2087" s="6"/>
      <c r="F2087" s="6"/>
      <c r="G2087" s="6"/>
      <c r="H2087" s="6"/>
    </row>
    <row r="2099" spans="1:8">
      <c r="A2099" s="415"/>
      <c r="B2099" s="415"/>
      <c r="C2099" s="415"/>
      <c r="D2099" s="415"/>
      <c r="E2099" s="415"/>
      <c r="F2099" s="415"/>
      <c r="G2099" s="415"/>
      <c r="H2099" s="415"/>
    </row>
    <row r="2100" spans="1:8">
      <c r="A2100" s="1615" t="s">
        <v>464</v>
      </c>
      <c r="B2100" s="1593"/>
      <c r="C2100" s="1593"/>
      <c r="D2100" s="1593"/>
      <c r="E2100" s="1593"/>
      <c r="F2100" s="1593"/>
      <c r="G2100" s="1593"/>
      <c r="H2100" s="1593"/>
    </row>
    <row r="2101" spans="1:8">
      <c r="A2101" s="1615" t="s">
        <v>493</v>
      </c>
      <c r="B2101" s="1615"/>
      <c r="C2101" s="1615"/>
      <c r="D2101" s="1615"/>
      <c r="E2101" s="1615"/>
      <c r="F2101" s="1615"/>
      <c r="G2101" s="1615"/>
      <c r="H2101" s="1615"/>
    </row>
    <row r="2102" spans="1:8">
      <c r="A2102" s="1615" t="s">
        <v>494</v>
      </c>
      <c r="B2102" s="1615"/>
      <c r="C2102" s="1615"/>
      <c r="D2102" s="1615"/>
      <c r="E2102" s="1615"/>
      <c r="F2102" s="1615"/>
      <c r="G2102" s="1615"/>
      <c r="H2102" s="1615"/>
    </row>
    <row r="2103" spans="1:8">
      <c r="A2103" s="416"/>
      <c r="B2103" s="416"/>
      <c r="C2103" s="416"/>
      <c r="D2103" s="416"/>
      <c r="E2103" s="416"/>
      <c r="F2103" s="416"/>
      <c r="G2103" s="416"/>
      <c r="H2103" s="416"/>
    </row>
    <row r="2104" spans="1:8">
      <c r="A2104" s="416"/>
      <c r="B2104" s="416"/>
      <c r="C2104" s="416"/>
      <c r="D2104" s="416"/>
      <c r="E2104" s="416"/>
      <c r="F2104" s="416"/>
      <c r="G2104" s="416"/>
      <c r="H2104" s="416"/>
    </row>
    <row r="2105" spans="1:8">
      <c r="A2105" s="1597" t="s">
        <v>3</v>
      </c>
      <c r="B2105" s="1597" t="s">
        <v>4</v>
      </c>
      <c r="C2105" s="1597" t="s">
        <v>5</v>
      </c>
      <c r="D2105" s="1597" t="s">
        <v>6</v>
      </c>
      <c r="E2105" s="1597" t="s">
        <v>7</v>
      </c>
      <c r="F2105" s="417" t="s">
        <v>8</v>
      </c>
      <c r="G2105" s="417" t="s">
        <v>9</v>
      </c>
      <c r="H2105" s="417" t="s">
        <v>10</v>
      </c>
    </row>
    <row r="2106" spans="1:8">
      <c r="A2106" s="1598"/>
      <c r="B2106" s="1598"/>
      <c r="C2106" s="1598"/>
      <c r="D2106" s="1598"/>
      <c r="E2106" s="1598"/>
      <c r="F2106" s="418" t="s">
        <v>11</v>
      </c>
      <c r="G2106" s="418" t="s">
        <v>11</v>
      </c>
      <c r="H2106" s="418" t="s">
        <v>11</v>
      </c>
    </row>
    <row r="2107" spans="1:8">
      <c r="A2107" s="419" t="s">
        <v>12</v>
      </c>
      <c r="B2107" s="420" t="s">
        <v>364</v>
      </c>
      <c r="C2107" s="421"/>
      <c r="D2107" s="422"/>
      <c r="E2107" s="422"/>
      <c r="F2107" s="422"/>
      <c r="G2107" s="423"/>
      <c r="H2107" s="424"/>
    </row>
    <row r="2108" spans="1:8">
      <c r="A2108" s="425">
        <v>1</v>
      </c>
      <c r="B2108" s="421" t="s">
        <v>495</v>
      </c>
      <c r="C2108" s="421">
        <v>1</v>
      </c>
      <c r="D2108" s="426" t="s">
        <v>403</v>
      </c>
      <c r="E2108" s="426" t="s">
        <v>126</v>
      </c>
      <c r="F2108" s="427">
        <v>0</v>
      </c>
      <c r="G2108" s="428">
        <f>C2108*F2108</f>
        <v>0</v>
      </c>
      <c r="H2108" s="424" t="s">
        <v>496</v>
      </c>
    </row>
    <row r="2109" spans="1:8">
      <c r="A2109" s="425">
        <f>A2108+1</f>
        <v>2</v>
      </c>
      <c r="B2109" s="421" t="s">
        <v>471</v>
      </c>
      <c r="C2109" s="421">
        <v>1</v>
      </c>
      <c r="D2109" s="426" t="s">
        <v>179</v>
      </c>
      <c r="E2109" s="426" t="s">
        <v>126</v>
      </c>
      <c r="F2109" s="427">
        <v>0</v>
      </c>
      <c r="G2109" s="428">
        <f>C2109*F2109</f>
        <v>0</v>
      </c>
      <c r="H2109" s="424" t="s">
        <v>496</v>
      </c>
    </row>
    <row r="2110" spans="1:8">
      <c r="A2110" s="429"/>
      <c r="B2110" s="430"/>
      <c r="C2110" s="430"/>
      <c r="D2110" s="431" t="s">
        <v>368</v>
      </c>
      <c r="E2110" s="432"/>
      <c r="F2110" s="433"/>
      <c r="G2110" s="434"/>
      <c r="H2110" s="435">
        <f>SUM(G2108:G2109)</f>
        <v>0</v>
      </c>
    </row>
    <row r="2111" spans="1:8">
      <c r="A2111" s="436"/>
      <c r="B2111" s="437"/>
      <c r="C2111" s="437"/>
      <c r="D2111" s="438"/>
      <c r="E2111" s="438"/>
      <c r="F2111" s="439"/>
      <c r="G2111" s="440"/>
      <c r="H2111" s="441"/>
    </row>
    <row r="2112" spans="1:8">
      <c r="A2112" s="419" t="s">
        <v>18</v>
      </c>
      <c r="B2112" s="442" t="s">
        <v>497</v>
      </c>
      <c r="C2112" s="421"/>
      <c r="D2112" s="426"/>
      <c r="E2112" s="426"/>
      <c r="F2112" s="422"/>
      <c r="G2112" s="428"/>
      <c r="H2112" s="424"/>
    </row>
    <row r="2113" spans="1:8">
      <c r="A2113" s="443">
        <v>1</v>
      </c>
      <c r="B2113" s="422" t="s">
        <v>498</v>
      </c>
      <c r="C2113" s="421">
        <v>1</v>
      </c>
      <c r="D2113" s="426" t="s">
        <v>400</v>
      </c>
      <c r="E2113" s="426" t="s">
        <v>410</v>
      </c>
      <c r="F2113" s="421">
        <v>250000</v>
      </c>
      <c r="G2113" s="428">
        <f t="shared" ref="G2113:G2118" si="27">C2113*F2113</f>
        <v>250000</v>
      </c>
      <c r="H2113" s="424"/>
    </row>
    <row r="2114" spans="1:8">
      <c r="A2114" s="443">
        <f>A2113+1</f>
        <v>2</v>
      </c>
      <c r="B2114" s="422" t="s">
        <v>499</v>
      </c>
      <c r="C2114" s="421">
        <v>1</v>
      </c>
      <c r="D2114" s="426" t="s">
        <v>334</v>
      </c>
      <c r="E2114" s="426" t="s">
        <v>408</v>
      </c>
      <c r="F2114" s="424">
        <f>(288380)*1.5*1</f>
        <v>432570</v>
      </c>
      <c r="G2114" s="428">
        <f t="shared" si="27"/>
        <v>432570</v>
      </c>
      <c r="H2114" s="424"/>
    </row>
    <row r="2115" spans="1:8">
      <c r="A2115" s="443">
        <f>A2114+1</f>
        <v>3</v>
      </c>
      <c r="B2115" s="422" t="s">
        <v>500</v>
      </c>
      <c r="C2115" s="421">
        <v>1</v>
      </c>
      <c r="D2115" s="426" t="s">
        <v>334</v>
      </c>
      <c r="E2115" s="426" t="s">
        <v>408</v>
      </c>
      <c r="F2115" s="424">
        <f>(125440)*1.5*1</f>
        <v>188160</v>
      </c>
      <c r="G2115" s="428">
        <f t="shared" si="27"/>
        <v>188160</v>
      </c>
      <c r="H2115" s="424"/>
    </row>
    <row r="2116" spans="1:8">
      <c r="A2116" s="443">
        <f>A2115+1</f>
        <v>4</v>
      </c>
      <c r="B2116" s="422" t="s">
        <v>501</v>
      </c>
      <c r="C2116" s="428">
        <v>1</v>
      </c>
      <c r="D2116" s="444" t="s">
        <v>334</v>
      </c>
      <c r="E2116" s="445" t="s">
        <v>408</v>
      </c>
      <c r="F2116" s="424">
        <f>(125440)*1.5*1</f>
        <v>188160</v>
      </c>
      <c r="G2116" s="428">
        <f t="shared" si="27"/>
        <v>188160</v>
      </c>
      <c r="H2116" s="424"/>
    </row>
    <row r="2117" spans="1:8">
      <c r="A2117" s="443">
        <f>A2116+1</f>
        <v>5</v>
      </c>
      <c r="B2117" s="422" t="s">
        <v>502</v>
      </c>
      <c r="C2117" s="428">
        <v>1</v>
      </c>
      <c r="D2117" s="444" t="s">
        <v>334</v>
      </c>
      <c r="E2117" s="445" t="s">
        <v>410</v>
      </c>
      <c r="F2117" s="421">
        <v>53000</v>
      </c>
      <c r="G2117" s="428">
        <f t="shared" si="27"/>
        <v>53000</v>
      </c>
      <c r="H2117" s="424"/>
    </row>
    <row r="2118" spans="1:8">
      <c r="A2118" s="443">
        <f>A2117+1</f>
        <v>6</v>
      </c>
      <c r="B2118" s="446" t="s">
        <v>485</v>
      </c>
      <c r="C2118" s="428">
        <v>1</v>
      </c>
      <c r="D2118" s="426" t="s">
        <v>416</v>
      </c>
      <c r="E2118" s="426" t="s">
        <v>410</v>
      </c>
      <c r="F2118" s="428">
        <v>125000</v>
      </c>
      <c r="G2118" s="428">
        <f t="shared" si="27"/>
        <v>125000</v>
      </c>
      <c r="H2118" s="424"/>
    </row>
    <row r="2119" spans="1:8">
      <c r="A2119" s="447"/>
      <c r="B2119" s="448"/>
      <c r="C2119" s="449"/>
      <c r="D2119" s="450" t="s">
        <v>486</v>
      </c>
      <c r="E2119" s="432"/>
      <c r="F2119" s="449"/>
      <c r="G2119" s="451"/>
      <c r="H2119" s="452">
        <f>SUM(G2113:G2118)</f>
        <v>1236890</v>
      </c>
    </row>
    <row r="2120" spans="1:8">
      <c r="A2120" s="453"/>
      <c r="B2120" s="454"/>
      <c r="C2120" s="455"/>
      <c r="D2120" s="456"/>
      <c r="E2120" s="457"/>
      <c r="F2120" s="455"/>
      <c r="G2120" s="458"/>
      <c r="H2120" s="421"/>
    </row>
    <row r="2121" spans="1:8">
      <c r="A2121" s="459"/>
      <c r="B2121" s="460"/>
      <c r="C2121" s="460"/>
      <c r="D2121" s="460"/>
      <c r="E2121" s="460"/>
      <c r="F2121" s="461"/>
      <c r="G2121" s="462" t="s">
        <v>28</v>
      </c>
      <c r="H2121" s="463">
        <f>H2119</f>
        <v>1236890</v>
      </c>
    </row>
    <row r="2122" spans="1:8" ht="12.6" thickBot="1">
      <c r="A2122" s="464"/>
      <c r="B2122" s="465"/>
      <c r="C2122" s="465"/>
      <c r="D2122" s="465"/>
      <c r="E2122" s="465"/>
      <c r="F2122" s="466"/>
      <c r="G2122" s="467" t="s">
        <v>460</v>
      </c>
      <c r="H2122" s="468">
        <f>H2121*10%</f>
        <v>123689</v>
      </c>
    </row>
    <row r="2123" spans="1:8">
      <c r="A2123" s="464" t="s">
        <v>27</v>
      </c>
      <c r="B2123" s="465"/>
      <c r="C2123" s="465"/>
      <c r="D2123" s="465"/>
      <c r="E2123" s="465"/>
      <c r="F2123" s="466"/>
      <c r="G2123" s="422" t="s">
        <v>503</v>
      </c>
      <c r="H2123" s="423">
        <f>H2121+H2122</f>
        <v>1360579</v>
      </c>
    </row>
    <row r="2124" spans="1:8">
      <c r="A2124" s="469"/>
      <c r="B2124" s="470" t="s">
        <v>504</v>
      </c>
      <c r="C2124" s="470"/>
      <c r="D2124" s="470"/>
      <c r="E2124" s="470"/>
      <c r="F2124" s="471"/>
      <c r="G2124" s="472" t="s">
        <v>30</v>
      </c>
      <c r="H2124" s="473">
        <f>ROUND(H2123,-2)</f>
        <v>1360600</v>
      </c>
    </row>
    <row r="2125" spans="1:8">
      <c r="A2125" s="474"/>
      <c r="B2125" s="474"/>
      <c r="C2125" s="474"/>
      <c r="D2125" s="474"/>
      <c r="E2125" s="474"/>
      <c r="F2125" s="474"/>
      <c r="G2125" s="474"/>
      <c r="H2125" s="475"/>
    </row>
    <row r="2126" spans="1:8">
      <c r="A2126" s="415"/>
      <c r="B2126" s="415"/>
      <c r="C2126" s="415"/>
      <c r="D2126" s="415"/>
      <c r="E2126" s="415"/>
      <c r="F2126" s="415"/>
      <c r="G2126" s="1593" t="s">
        <v>505</v>
      </c>
      <c r="H2126" s="1593"/>
    </row>
    <row r="2127" spans="1:8">
      <c r="A2127" s="1593" t="s">
        <v>234</v>
      </c>
      <c r="B2127" s="1593"/>
      <c r="C2127" s="1593" t="s">
        <v>32</v>
      </c>
      <c r="D2127" s="1593"/>
      <c r="E2127" s="1593"/>
      <c r="F2127" s="415"/>
      <c r="G2127" s="1593" t="s">
        <v>33</v>
      </c>
      <c r="H2127" s="1593"/>
    </row>
    <row r="2128" spans="1:8">
      <c r="A2128" s="415"/>
      <c r="B2128" s="415"/>
      <c r="C2128" s="415"/>
      <c r="D2128" s="415"/>
      <c r="E2128" s="415"/>
      <c r="F2128" s="415"/>
      <c r="G2128" s="415"/>
      <c r="H2128" s="415"/>
    </row>
    <row r="2129" spans="1:8">
      <c r="A2129" s="415"/>
      <c r="B2129" s="415"/>
      <c r="C2129" s="415"/>
      <c r="D2129" s="415"/>
      <c r="E2129" s="415"/>
      <c r="F2129" s="415"/>
      <c r="G2129" s="415"/>
      <c r="H2129" s="415"/>
    </row>
    <row r="2130" spans="1:8">
      <c r="A2130" s="415"/>
      <c r="B2130" s="415"/>
      <c r="C2130" s="415"/>
      <c r="D2130" s="415"/>
      <c r="E2130" s="415"/>
      <c r="F2130" s="415"/>
      <c r="G2130" s="415"/>
      <c r="H2130" s="415"/>
    </row>
    <row r="2131" spans="1:8">
      <c r="A2131" s="1592" t="s">
        <v>489</v>
      </c>
      <c r="B2131" s="1592"/>
      <c r="C2131" s="1592" t="s">
        <v>35</v>
      </c>
      <c r="D2131" s="1592"/>
      <c r="E2131" s="1592"/>
      <c r="F2131" s="415"/>
      <c r="G2131" s="1592" t="s">
        <v>36</v>
      </c>
      <c r="H2131" s="1592"/>
    </row>
    <row r="2132" spans="1:8">
      <c r="A2132" s="1593" t="s">
        <v>37</v>
      </c>
      <c r="B2132" s="1593"/>
      <c r="C2132" s="1593" t="s">
        <v>38</v>
      </c>
      <c r="D2132" s="1593"/>
      <c r="E2132" s="1593"/>
      <c r="F2132" s="415"/>
      <c r="G2132" s="1593" t="s">
        <v>39</v>
      </c>
      <c r="H2132" s="1593"/>
    </row>
    <row r="2133" spans="1:8">
      <c r="A2133" s="415"/>
      <c r="B2133" s="415"/>
      <c r="C2133" s="415"/>
      <c r="D2133" s="415"/>
      <c r="E2133" s="415"/>
      <c r="F2133" s="415"/>
      <c r="G2133" s="415"/>
      <c r="H2133" s="415"/>
    </row>
    <row r="2134" spans="1:8">
      <c r="A2134" s="415"/>
      <c r="B2134" s="415"/>
      <c r="C2134" s="415"/>
      <c r="D2134" s="415"/>
      <c r="E2134" s="415"/>
      <c r="F2134" s="415"/>
      <c r="G2134" s="415"/>
      <c r="H2134" s="415"/>
    </row>
    <row r="2135" spans="1:8">
      <c r="A2135" s="415"/>
      <c r="B2135" s="415"/>
      <c r="C2135" s="415"/>
      <c r="D2135" s="415"/>
      <c r="E2135" s="415"/>
      <c r="F2135" s="415"/>
      <c r="G2135" s="415"/>
      <c r="H2135" s="415"/>
    </row>
    <row r="2140" spans="1:8">
      <c r="A2140" s="415"/>
      <c r="B2140" s="415"/>
      <c r="C2140" s="415"/>
      <c r="D2140" s="415"/>
      <c r="E2140" s="415"/>
      <c r="F2140" s="415"/>
      <c r="G2140" s="415"/>
      <c r="H2140" s="415"/>
    </row>
    <row r="2141" spans="1:8" ht="13.8">
      <c r="A2141" s="1595" t="s">
        <v>464</v>
      </c>
      <c r="B2141" s="1596"/>
      <c r="C2141" s="1596"/>
      <c r="D2141" s="1596"/>
      <c r="E2141" s="1596"/>
      <c r="F2141" s="1596"/>
      <c r="G2141" s="1596"/>
      <c r="H2141" s="1596"/>
    </row>
    <row r="2142" spans="1:8" ht="13.8">
      <c r="A2142" s="1595" t="s">
        <v>506</v>
      </c>
      <c r="B2142" s="1595"/>
      <c r="C2142" s="1595"/>
      <c r="D2142" s="1595"/>
      <c r="E2142" s="1595"/>
      <c r="F2142" s="1595"/>
      <c r="G2142" s="1595"/>
      <c r="H2142" s="1595"/>
    </row>
    <row r="2143" spans="1:8" ht="13.8">
      <c r="A2143" s="1595" t="s">
        <v>507</v>
      </c>
      <c r="B2143" s="1595"/>
      <c r="C2143" s="1595"/>
      <c r="D2143" s="1595"/>
      <c r="E2143" s="1595"/>
      <c r="F2143" s="1595"/>
      <c r="G2143" s="1595"/>
      <c r="H2143" s="1595"/>
    </row>
    <row r="2144" spans="1:8">
      <c r="A2144" s="416"/>
      <c r="B2144" s="416"/>
      <c r="C2144" s="416"/>
      <c r="D2144" s="416"/>
      <c r="E2144" s="416"/>
      <c r="F2144" s="416"/>
      <c r="G2144" s="416"/>
      <c r="H2144" s="416"/>
    </row>
    <row r="2145" spans="1:8">
      <c r="A2145" s="416"/>
      <c r="B2145" s="416"/>
      <c r="C2145" s="416"/>
      <c r="D2145" s="416"/>
      <c r="E2145" s="416"/>
      <c r="F2145" s="416"/>
      <c r="G2145" s="416"/>
      <c r="H2145" s="416"/>
    </row>
    <row r="2146" spans="1:8">
      <c r="A2146" s="1597" t="s">
        <v>3</v>
      </c>
      <c r="B2146" s="1597" t="s">
        <v>4</v>
      </c>
      <c r="C2146" s="1597" t="s">
        <v>5</v>
      </c>
      <c r="D2146" s="1597" t="s">
        <v>6</v>
      </c>
      <c r="E2146" s="1597" t="s">
        <v>7</v>
      </c>
      <c r="F2146" s="417" t="s">
        <v>8</v>
      </c>
      <c r="G2146" s="417" t="s">
        <v>9</v>
      </c>
      <c r="H2146" s="417" t="s">
        <v>10</v>
      </c>
    </row>
    <row r="2147" spans="1:8">
      <c r="A2147" s="1598"/>
      <c r="B2147" s="1598"/>
      <c r="C2147" s="1598"/>
      <c r="D2147" s="1598"/>
      <c r="E2147" s="1598"/>
      <c r="F2147" s="418" t="s">
        <v>11</v>
      </c>
      <c r="G2147" s="418" t="s">
        <v>11</v>
      </c>
      <c r="H2147" s="418" t="s">
        <v>11</v>
      </c>
    </row>
    <row r="2148" spans="1:8">
      <c r="A2148" s="419" t="s">
        <v>12</v>
      </c>
      <c r="B2148" s="442" t="s">
        <v>508</v>
      </c>
      <c r="C2148" s="421"/>
      <c r="D2148" s="426"/>
      <c r="E2148" s="426"/>
      <c r="F2148" s="422"/>
      <c r="G2148" s="428"/>
      <c r="H2148" s="424"/>
    </row>
    <row r="2149" spans="1:8">
      <c r="A2149" s="443">
        <v>1</v>
      </c>
      <c r="B2149" s="422" t="s">
        <v>509</v>
      </c>
      <c r="C2149" s="421">
        <v>84</v>
      </c>
      <c r="D2149" s="426" t="s">
        <v>44</v>
      </c>
      <c r="E2149" s="426" t="s">
        <v>16</v>
      </c>
      <c r="F2149" s="421">
        <v>26000</v>
      </c>
      <c r="G2149" s="428">
        <f>C2149*F2149</f>
        <v>2184000</v>
      </c>
      <c r="H2149" s="424"/>
    </row>
    <row r="2150" spans="1:8">
      <c r="A2150" s="443">
        <f>A2149+1</f>
        <v>2</v>
      </c>
      <c r="B2150" s="422" t="s">
        <v>510</v>
      </c>
      <c r="C2150" s="421">
        <v>2</v>
      </c>
      <c r="D2150" s="426" t="s">
        <v>138</v>
      </c>
      <c r="E2150" s="426" t="s">
        <v>16</v>
      </c>
      <c r="F2150" s="424">
        <v>12043600</v>
      </c>
      <c r="G2150" s="428">
        <f>C2150*F2150</f>
        <v>24087200</v>
      </c>
      <c r="H2150" s="424"/>
    </row>
    <row r="2151" spans="1:8">
      <c r="A2151" s="443"/>
      <c r="B2151" s="422" t="s">
        <v>511</v>
      </c>
      <c r="C2151" s="421"/>
      <c r="D2151" s="426"/>
      <c r="E2151" s="426"/>
      <c r="F2151" s="424"/>
      <c r="G2151" s="428"/>
      <c r="H2151" s="424"/>
    </row>
    <row r="2152" spans="1:8">
      <c r="A2152" s="443">
        <f>A2150+1</f>
        <v>3</v>
      </c>
      <c r="B2152" s="422" t="s">
        <v>512</v>
      </c>
      <c r="C2152" s="428">
        <v>6</v>
      </c>
      <c r="D2152" s="444" t="s">
        <v>47</v>
      </c>
      <c r="E2152" s="426" t="s">
        <v>82</v>
      </c>
      <c r="F2152" s="424">
        <v>220000</v>
      </c>
      <c r="G2152" s="428">
        <f>C2152*F2152</f>
        <v>1320000</v>
      </c>
      <c r="H2152" s="424"/>
    </row>
    <row r="2153" spans="1:8">
      <c r="A2153" s="443">
        <f>A2152+1</f>
        <v>4</v>
      </c>
      <c r="B2153" s="422" t="s">
        <v>513</v>
      </c>
      <c r="C2153" s="428">
        <v>2</v>
      </c>
      <c r="D2153" s="444" t="s">
        <v>138</v>
      </c>
      <c r="E2153" s="426" t="s">
        <v>16</v>
      </c>
      <c r="F2153" s="421">
        <v>1032100</v>
      </c>
      <c r="G2153" s="428">
        <f>C2153*F2153</f>
        <v>2064200</v>
      </c>
      <c r="H2153" s="424"/>
    </row>
    <row r="2154" spans="1:8">
      <c r="A2154" s="443"/>
      <c r="B2154" s="422" t="s">
        <v>514</v>
      </c>
      <c r="C2154" s="428"/>
      <c r="D2154" s="444"/>
      <c r="E2154" s="426"/>
      <c r="F2154" s="421"/>
      <c r="G2154" s="428"/>
      <c r="H2154" s="424"/>
    </row>
    <row r="2155" spans="1:8">
      <c r="A2155" s="443">
        <f>A2153+1</f>
        <v>5</v>
      </c>
      <c r="B2155" s="422" t="s">
        <v>515</v>
      </c>
      <c r="C2155" s="428">
        <v>2</v>
      </c>
      <c r="D2155" s="444" t="s">
        <v>138</v>
      </c>
      <c r="E2155" s="426" t="s">
        <v>51</v>
      </c>
      <c r="F2155" s="421">
        <v>1500000</v>
      </c>
      <c r="G2155" s="428">
        <f>C2155*F2155</f>
        <v>3000000</v>
      </c>
      <c r="H2155" s="424"/>
    </row>
    <row r="2156" spans="1:8">
      <c r="A2156" s="443">
        <f>A2155+1</f>
        <v>6</v>
      </c>
      <c r="B2156" s="422" t="s">
        <v>516</v>
      </c>
      <c r="C2156" s="428">
        <v>2</v>
      </c>
      <c r="D2156" s="444" t="s">
        <v>138</v>
      </c>
      <c r="E2156" s="426" t="s">
        <v>51</v>
      </c>
      <c r="F2156" s="421">
        <v>3500000</v>
      </c>
      <c r="G2156" s="428">
        <f>C2156*F2156</f>
        <v>7000000</v>
      </c>
      <c r="H2156" s="424"/>
    </row>
    <row r="2157" spans="1:8">
      <c r="A2157" s="443"/>
      <c r="B2157" s="422" t="s">
        <v>517</v>
      </c>
      <c r="C2157" s="428"/>
      <c r="D2157" s="444"/>
      <c r="E2157" s="426"/>
      <c r="F2157" s="421"/>
      <c r="G2157" s="428"/>
      <c r="H2157" s="424"/>
    </row>
    <row r="2158" spans="1:8">
      <c r="A2158" s="443">
        <f>A2156+1</f>
        <v>7</v>
      </c>
      <c r="B2158" s="422" t="s">
        <v>518</v>
      </c>
      <c r="C2158" s="428">
        <v>2</v>
      </c>
      <c r="D2158" s="444" t="s">
        <v>138</v>
      </c>
      <c r="E2158" s="426" t="s">
        <v>51</v>
      </c>
      <c r="F2158" s="421">
        <v>4500000</v>
      </c>
      <c r="G2158" s="428">
        <f t="shared" ref="G2158:G2165" si="28">C2158*F2158</f>
        <v>9000000</v>
      </c>
      <c r="H2158" s="424"/>
    </row>
    <row r="2159" spans="1:8">
      <c r="A2159" s="443"/>
      <c r="B2159" s="422" t="s">
        <v>519</v>
      </c>
      <c r="C2159" s="428"/>
      <c r="D2159" s="444"/>
      <c r="E2159" s="426"/>
      <c r="F2159" s="421"/>
      <c r="G2159" s="428">
        <f t="shared" si="28"/>
        <v>0</v>
      </c>
      <c r="H2159" s="424"/>
    </row>
    <row r="2160" spans="1:8">
      <c r="A2160" s="443">
        <f>A2158+1</f>
        <v>8</v>
      </c>
      <c r="B2160" s="422" t="s">
        <v>520</v>
      </c>
      <c r="C2160" s="428">
        <v>2</v>
      </c>
      <c r="D2160" s="444" t="s">
        <v>138</v>
      </c>
      <c r="E2160" s="426" t="s">
        <v>51</v>
      </c>
      <c r="F2160" s="421">
        <v>2500000</v>
      </c>
      <c r="G2160" s="428">
        <f t="shared" si="28"/>
        <v>5000000</v>
      </c>
      <c r="H2160" s="424"/>
    </row>
    <row r="2161" spans="1:8">
      <c r="A2161" s="443"/>
      <c r="B2161" s="422" t="s">
        <v>519</v>
      </c>
      <c r="C2161" s="428"/>
      <c r="D2161" s="444"/>
      <c r="E2161" s="426"/>
      <c r="F2161" s="421"/>
      <c r="G2161" s="428">
        <f t="shared" si="28"/>
        <v>0</v>
      </c>
      <c r="H2161" s="424"/>
    </row>
    <row r="2162" spans="1:8">
      <c r="A2162" s="443">
        <f>A2160+1</f>
        <v>9</v>
      </c>
      <c r="B2162" s="422" t="s">
        <v>521</v>
      </c>
      <c r="C2162" s="428">
        <v>2</v>
      </c>
      <c r="D2162" s="444" t="s">
        <v>138</v>
      </c>
      <c r="E2162" s="426" t="s">
        <v>51</v>
      </c>
      <c r="F2162" s="421">
        <v>1500000</v>
      </c>
      <c r="G2162" s="428">
        <f t="shared" si="28"/>
        <v>3000000</v>
      </c>
      <c r="H2162" s="424"/>
    </row>
    <row r="2163" spans="1:8">
      <c r="A2163" s="443">
        <f>A2162+1</f>
        <v>10</v>
      </c>
      <c r="B2163" s="422" t="s">
        <v>522</v>
      </c>
      <c r="C2163" s="428">
        <v>2</v>
      </c>
      <c r="D2163" s="444" t="s">
        <v>138</v>
      </c>
      <c r="E2163" s="426" t="s">
        <v>51</v>
      </c>
      <c r="F2163" s="421">
        <v>2000000</v>
      </c>
      <c r="G2163" s="428">
        <f t="shared" si="28"/>
        <v>4000000</v>
      </c>
      <c r="H2163" s="424"/>
    </row>
    <row r="2164" spans="1:8">
      <c r="A2164" s="443">
        <f>A2163+1</f>
        <v>11</v>
      </c>
      <c r="B2164" s="422" t="s">
        <v>523</v>
      </c>
      <c r="C2164" s="428">
        <v>2</v>
      </c>
      <c r="D2164" s="444" t="s">
        <v>524</v>
      </c>
      <c r="E2164" s="426" t="s">
        <v>16</v>
      </c>
      <c r="F2164" s="421">
        <v>1500000</v>
      </c>
      <c r="G2164" s="428">
        <f t="shared" si="28"/>
        <v>3000000</v>
      </c>
      <c r="H2164" s="424"/>
    </row>
    <row r="2165" spans="1:8">
      <c r="A2165" s="443">
        <f>A2164+1</f>
        <v>12</v>
      </c>
      <c r="B2165" s="422" t="s">
        <v>525</v>
      </c>
      <c r="C2165" s="428">
        <v>2</v>
      </c>
      <c r="D2165" s="444" t="s">
        <v>21</v>
      </c>
      <c r="E2165" s="426" t="s">
        <v>82</v>
      </c>
      <c r="F2165" s="421">
        <v>763560</v>
      </c>
      <c r="G2165" s="428">
        <f t="shared" si="28"/>
        <v>1527120</v>
      </c>
      <c r="H2165" s="424"/>
    </row>
    <row r="2166" spans="1:8">
      <c r="A2166" s="443"/>
      <c r="B2166" s="422"/>
      <c r="C2166" s="428"/>
      <c r="D2166" s="444"/>
      <c r="E2166" s="426"/>
      <c r="F2166" s="421"/>
      <c r="G2166" s="428"/>
      <c r="H2166" s="424"/>
    </row>
    <row r="2167" spans="1:8">
      <c r="A2167" s="447"/>
      <c r="B2167" s="448"/>
      <c r="C2167" s="449"/>
      <c r="D2167" s="450" t="s">
        <v>486</v>
      </c>
      <c r="E2167" s="432"/>
      <c r="F2167" s="449"/>
      <c r="G2167" s="451"/>
      <c r="H2167" s="452">
        <f>SUM(G2149:G2166)</f>
        <v>65182520</v>
      </c>
    </row>
    <row r="2168" spans="1:8">
      <c r="A2168" s="453"/>
      <c r="B2168" s="454"/>
      <c r="C2168" s="455"/>
      <c r="D2168" s="456"/>
      <c r="E2168" s="457"/>
      <c r="F2168" s="455"/>
      <c r="G2168" s="458"/>
      <c r="H2168" s="421"/>
    </row>
    <row r="2169" spans="1:8">
      <c r="A2169" s="459"/>
      <c r="B2169" s="460"/>
      <c r="C2169" s="460"/>
      <c r="D2169" s="460"/>
      <c r="E2169" s="460"/>
      <c r="F2169" s="461"/>
      <c r="G2169" s="462" t="s">
        <v>503</v>
      </c>
      <c r="H2169" s="463">
        <f>H2167</f>
        <v>65182520</v>
      </c>
    </row>
    <row r="2170" spans="1:8" ht="12.6" thickBot="1">
      <c r="A2170" s="464"/>
      <c r="B2170" s="465"/>
      <c r="C2170" s="465"/>
      <c r="D2170" s="465"/>
      <c r="E2170" s="465"/>
      <c r="F2170" s="466"/>
      <c r="G2170" s="467" t="s">
        <v>460</v>
      </c>
      <c r="H2170" s="468">
        <f>H2169*10%</f>
        <v>6518252</v>
      </c>
    </row>
    <row r="2171" spans="1:8">
      <c r="A2171" s="464" t="s">
        <v>27</v>
      </c>
      <c r="B2171" s="465"/>
      <c r="C2171" s="465"/>
      <c r="D2171" s="465"/>
      <c r="E2171" s="465"/>
      <c r="F2171" s="466"/>
      <c r="G2171" s="422" t="s">
        <v>28</v>
      </c>
      <c r="H2171" s="423">
        <f>H2169+H2170</f>
        <v>71700772</v>
      </c>
    </row>
    <row r="2172" spans="1:8">
      <c r="A2172" s="469"/>
      <c r="B2172" s="470" t="s">
        <v>526</v>
      </c>
      <c r="C2172" s="470"/>
      <c r="D2172" s="470"/>
      <c r="E2172" s="470"/>
      <c r="F2172" s="471"/>
      <c r="G2172" s="472" t="s">
        <v>30</v>
      </c>
      <c r="H2172" s="473">
        <f>ROUND(H2171,-2)</f>
        <v>71700800</v>
      </c>
    </row>
    <row r="2173" spans="1:8">
      <c r="A2173" s="474"/>
      <c r="B2173" s="474"/>
      <c r="C2173" s="474"/>
      <c r="D2173" s="474"/>
      <c r="E2173" s="474"/>
      <c r="F2173" s="474"/>
      <c r="G2173" s="474"/>
      <c r="H2173" s="475"/>
    </row>
    <row r="2174" spans="1:8">
      <c r="A2174" s="415"/>
      <c r="B2174" s="415"/>
      <c r="C2174" s="415"/>
      <c r="D2174" s="415"/>
      <c r="E2174" s="415"/>
      <c r="F2174" s="415"/>
      <c r="G2174" s="1593" t="s">
        <v>527</v>
      </c>
      <c r="H2174" s="1593"/>
    </row>
    <row r="2175" spans="1:8">
      <c r="A2175" s="1593" t="s">
        <v>234</v>
      </c>
      <c r="B2175" s="1593"/>
      <c r="C2175" s="1593" t="s">
        <v>32</v>
      </c>
      <c r="D2175" s="1593"/>
      <c r="E2175" s="1593"/>
      <c r="F2175" s="415"/>
      <c r="G2175" s="1593" t="s">
        <v>33</v>
      </c>
      <c r="H2175" s="1593"/>
    </row>
    <row r="2176" spans="1:8">
      <c r="A2176" s="415"/>
      <c r="B2176" s="415"/>
      <c r="C2176" s="415"/>
      <c r="D2176" s="415"/>
      <c r="E2176" s="415"/>
      <c r="F2176" s="415"/>
      <c r="G2176" s="415"/>
      <c r="H2176" s="415"/>
    </row>
    <row r="2177" spans="1:8">
      <c r="A2177" s="415"/>
      <c r="B2177" s="415"/>
      <c r="C2177" s="415"/>
      <c r="D2177" s="415"/>
      <c r="E2177" s="415"/>
      <c r="F2177" s="415"/>
      <c r="G2177" s="415"/>
      <c r="H2177" s="415"/>
    </row>
    <row r="2178" spans="1:8">
      <c r="A2178" s="415"/>
      <c r="B2178" s="415"/>
      <c r="C2178" s="415"/>
      <c r="D2178" s="415"/>
      <c r="E2178" s="415"/>
      <c r="F2178" s="415"/>
      <c r="G2178" s="415"/>
      <c r="H2178" s="415"/>
    </row>
    <row r="2179" spans="1:8">
      <c r="A2179" s="1592" t="s">
        <v>489</v>
      </c>
      <c r="B2179" s="1592"/>
      <c r="C2179" s="1592" t="s">
        <v>35</v>
      </c>
      <c r="D2179" s="1592"/>
      <c r="E2179" s="1592"/>
      <c r="F2179" s="415"/>
      <c r="G2179" s="1592" t="s">
        <v>36</v>
      </c>
      <c r="H2179" s="1592"/>
    </row>
    <row r="2180" spans="1:8">
      <c r="A2180" s="1593" t="s">
        <v>37</v>
      </c>
      <c r="B2180" s="1593"/>
      <c r="C2180" s="1593" t="s">
        <v>38</v>
      </c>
      <c r="D2180" s="1593"/>
      <c r="E2180" s="1593"/>
      <c r="F2180" s="415"/>
      <c r="G2180" s="1593" t="s">
        <v>39</v>
      </c>
      <c r="H2180" s="1593"/>
    </row>
    <row r="2181" spans="1:8">
      <c r="A2181" s="415"/>
      <c r="B2181" s="415"/>
      <c r="C2181" s="415"/>
      <c r="D2181" s="415"/>
      <c r="E2181" s="415"/>
      <c r="F2181" s="415"/>
      <c r="G2181" s="415"/>
      <c r="H2181" s="415"/>
    </row>
    <row r="2182" spans="1:8">
      <c r="A2182" s="415"/>
      <c r="B2182" s="415"/>
      <c r="C2182" s="415"/>
      <c r="D2182" s="415"/>
      <c r="E2182" s="415"/>
      <c r="F2182" s="415"/>
      <c r="G2182" s="415"/>
      <c r="H2182" s="415"/>
    </row>
  </sheetData>
  <mergeCells count="857">
    <mergeCell ref="C80:E80"/>
    <mergeCell ref="G80:H80"/>
    <mergeCell ref="A84:B84"/>
    <mergeCell ref="C84:E84"/>
    <mergeCell ref="G84:H84"/>
    <mergeCell ref="C43:H43"/>
    <mergeCell ref="C44:H44"/>
    <mergeCell ref="C45:H45"/>
    <mergeCell ref="A48:A49"/>
    <mergeCell ref="B48:B49"/>
    <mergeCell ref="C48:C49"/>
    <mergeCell ref="D48:D49"/>
    <mergeCell ref="E48:E49"/>
    <mergeCell ref="A128:B128"/>
    <mergeCell ref="C128:E128"/>
    <mergeCell ref="G128:H128"/>
    <mergeCell ref="E96:E97"/>
    <mergeCell ref="G122:H122"/>
    <mergeCell ref="A123:B123"/>
    <mergeCell ref="C123:E123"/>
    <mergeCell ref="G123:H123"/>
    <mergeCell ref="A127:B127"/>
    <mergeCell ref="C127:E127"/>
    <mergeCell ref="G127:H127"/>
    <mergeCell ref="A85:B85"/>
    <mergeCell ref="C85:E85"/>
    <mergeCell ref="G85:H85"/>
    <mergeCell ref="G79:H79"/>
    <mergeCell ref="A80:B80"/>
    <mergeCell ref="C169:E169"/>
    <mergeCell ref="G169:H169"/>
    <mergeCell ref="C91:H91"/>
    <mergeCell ref="C92:H92"/>
    <mergeCell ref="C93:H93"/>
    <mergeCell ref="A96:A97"/>
    <mergeCell ref="B96:B97"/>
    <mergeCell ref="C96:C97"/>
    <mergeCell ref="D96:D97"/>
    <mergeCell ref="G163:H163"/>
    <mergeCell ref="A164:B164"/>
    <mergeCell ref="C164:E164"/>
    <mergeCell ref="G164:H164"/>
    <mergeCell ref="A168:B168"/>
    <mergeCell ref="C168:E168"/>
    <mergeCell ref="G168:H168"/>
    <mergeCell ref="C133:H133"/>
    <mergeCell ref="C134:H134"/>
    <mergeCell ref="C135:H135"/>
    <mergeCell ref="A138:A139"/>
    <mergeCell ref="B138:B139"/>
    <mergeCell ref="C138:C139"/>
    <mergeCell ref="D138:D139"/>
    <mergeCell ref="G294:H294"/>
    <mergeCell ref="A290:B290"/>
    <mergeCell ref="C290:E290"/>
    <mergeCell ref="G290:H290"/>
    <mergeCell ref="E138:E139"/>
    <mergeCell ref="A220:B220"/>
    <mergeCell ref="C220:E220"/>
    <mergeCell ref="G220:H220"/>
    <mergeCell ref="A219:B219"/>
    <mergeCell ref="C219:E219"/>
    <mergeCell ref="G219:H219"/>
    <mergeCell ref="A215:B215"/>
    <mergeCell ref="C215:E215"/>
    <mergeCell ref="G215:H215"/>
    <mergeCell ref="G214:H214"/>
    <mergeCell ref="A180:A181"/>
    <mergeCell ref="B180:B181"/>
    <mergeCell ref="C180:C181"/>
    <mergeCell ref="D180:D181"/>
    <mergeCell ref="E180:E181"/>
    <mergeCell ref="C177:H177"/>
    <mergeCell ref="C176:H176"/>
    <mergeCell ref="C175:H175"/>
    <mergeCell ref="A169:B169"/>
    <mergeCell ref="A616:B616"/>
    <mergeCell ref="C616:E616"/>
    <mergeCell ref="A556:H556"/>
    <mergeCell ref="A557:H557"/>
    <mergeCell ref="A558:H558"/>
    <mergeCell ref="G616:H616"/>
    <mergeCell ref="G608:H608"/>
    <mergeCell ref="A609:B609"/>
    <mergeCell ref="C609:E609"/>
    <mergeCell ref="G609:H609"/>
    <mergeCell ref="A615:B615"/>
    <mergeCell ref="C615:E615"/>
    <mergeCell ref="G615:H615"/>
    <mergeCell ref="A561:A562"/>
    <mergeCell ref="B561:B562"/>
    <mergeCell ref="C561:C562"/>
    <mergeCell ref="D561:D562"/>
    <mergeCell ref="E561:E562"/>
    <mergeCell ref="G503:H503"/>
    <mergeCell ref="A509:B509"/>
    <mergeCell ref="A752:B752"/>
    <mergeCell ref="C752:E752"/>
    <mergeCell ref="C718:H718"/>
    <mergeCell ref="A721:A722"/>
    <mergeCell ref="B721:B722"/>
    <mergeCell ref="G752:H752"/>
    <mergeCell ref="B717:H717"/>
    <mergeCell ref="B716:H716"/>
    <mergeCell ref="G746:H746"/>
    <mergeCell ref="A747:B747"/>
    <mergeCell ref="C747:E747"/>
    <mergeCell ref="G747:H747"/>
    <mergeCell ref="A751:B751"/>
    <mergeCell ref="C751:E751"/>
    <mergeCell ref="G751:H751"/>
    <mergeCell ref="C721:C722"/>
    <mergeCell ref="D721:D722"/>
    <mergeCell ref="E721:E722"/>
    <mergeCell ref="A837:B837"/>
    <mergeCell ref="C837:E837"/>
    <mergeCell ref="G837:H837"/>
    <mergeCell ref="C795:H795"/>
    <mergeCell ref="C796:H796"/>
    <mergeCell ref="C797:H797"/>
    <mergeCell ref="A800:A801"/>
    <mergeCell ref="B800:B801"/>
    <mergeCell ref="C800:C801"/>
    <mergeCell ref="D800:D801"/>
    <mergeCell ref="C833:E833"/>
    <mergeCell ref="C756:H756"/>
    <mergeCell ref="C757:H757"/>
    <mergeCell ref="C758:H758"/>
    <mergeCell ref="A761:A762"/>
    <mergeCell ref="B761:B762"/>
    <mergeCell ref="C761:C762"/>
    <mergeCell ref="D761:D762"/>
    <mergeCell ref="G833:H833"/>
    <mergeCell ref="A792:B792"/>
    <mergeCell ref="C792:E792"/>
    <mergeCell ref="G792:H792"/>
    <mergeCell ref="E761:E762"/>
    <mergeCell ref="G786:H786"/>
    <mergeCell ref="A787:B787"/>
    <mergeCell ref="C787:E787"/>
    <mergeCell ref="G787:H787"/>
    <mergeCell ref="A791:B791"/>
    <mergeCell ref="C791:E791"/>
    <mergeCell ref="G791:H791"/>
    <mergeCell ref="E800:E801"/>
    <mergeCell ref="G832:H832"/>
    <mergeCell ref="A833:B833"/>
    <mergeCell ref="A898:B898"/>
    <mergeCell ref="C898:E898"/>
    <mergeCell ref="G898:H898"/>
    <mergeCell ref="G892:H892"/>
    <mergeCell ref="A893:B893"/>
    <mergeCell ref="C893:E893"/>
    <mergeCell ref="G893:H893"/>
    <mergeCell ref="A897:B897"/>
    <mergeCell ref="C897:E897"/>
    <mergeCell ref="G897:H897"/>
    <mergeCell ref="C841:H841"/>
    <mergeCell ref="C842:H842"/>
    <mergeCell ref="C843:H843"/>
    <mergeCell ref="A846:A847"/>
    <mergeCell ref="B846:B847"/>
    <mergeCell ref="C846:C847"/>
    <mergeCell ref="D846:D847"/>
    <mergeCell ref="E846:E847"/>
    <mergeCell ref="A838:B838"/>
    <mergeCell ref="C838:E838"/>
    <mergeCell ref="G838:H838"/>
    <mergeCell ref="G1002:H1002"/>
    <mergeCell ref="C902:H902"/>
    <mergeCell ref="C903:H903"/>
    <mergeCell ref="C904:H904"/>
    <mergeCell ref="C905:H905"/>
    <mergeCell ref="A908:A909"/>
    <mergeCell ref="B908:B909"/>
    <mergeCell ref="C908:C909"/>
    <mergeCell ref="D908:D909"/>
    <mergeCell ref="E908:E909"/>
    <mergeCell ref="A954:B954"/>
    <mergeCell ref="C954:E954"/>
    <mergeCell ref="G954:H954"/>
    <mergeCell ref="G948:H948"/>
    <mergeCell ref="A949:B949"/>
    <mergeCell ref="C949:E949"/>
    <mergeCell ref="G949:H949"/>
    <mergeCell ref="A953:B953"/>
    <mergeCell ref="C953:E953"/>
    <mergeCell ref="G953:H953"/>
    <mergeCell ref="A1185:H1185"/>
    <mergeCell ref="C960:H960"/>
    <mergeCell ref="C963:H963"/>
    <mergeCell ref="A966:A967"/>
    <mergeCell ref="B966:B967"/>
    <mergeCell ref="C966:C967"/>
    <mergeCell ref="D966:D967"/>
    <mergeCell ref="E966:E967"/>
    <mergeCell ref="B961:H961"/>
    <mergeCell ref="A1043:B1043"/>
    <mergeCell ref="C1043:E1043"/>
    <mergeCell ref="G1043:H1043"/>
    <mergeCell ref="G1037:H1037"/>
    <mergeCell ref="A1038:B1038"/>
    <mergeCell ref="C1038:E1038"/>
    <mergeCell ref="G1038:H1038"/>
    <mergeCell ref="A1042:B1042"/>
    <mergeCell ref="C1042:E1042"/>
    <mergeCell ref="G1042:H1042"/>
    <mergeCell ref="C1010:H1010"/>
    <mergeCell ref="C1011:H1011"/>
    <mergeCell ref="C1012:H1012"/>
    <mergeCell ref="A1015:A1016"/>
    <mergeCell ref="B1015:B1016"/>
    <mergeCell ref="G1177:H1177"/>
    <mergeCell ref="D1015:D1016"/>
    <mergeCell ref="E1015:E1016"/>
    <mergeCell ref="G1171:H1171"/>
    <mergeCell ref="A1172:B1172"/>
    <mergeCell ref="C1172:E1172"/>
    <mergeCell ref="G1172:H1172"/>
    <mergeCell ref="A1176:B1176"/>
    <mergeCell ref="A1213:B1213"/>
    <mergeCell ref="C1213:E1213"/>
    <mergeCell ref="G1213:H1213"/>
    <mergeCell ref="A1208:B1208"/>
    <mergeCell ref="C1208:E1208"/>
    <mergeCell ref="A1146:H1146"/>
    <mergeCell ref="A1147:H1147"/>
    <mergeCell ref="A1148:H1148"/>
    <mergeCell ref="A1151:A1152"/>
    <mergeCell ref="B1151:B1152"/>
    <mergeCell ref="A1177:B1177"/>
    <mergeCell ref="C1177:E1177"/>
    <mergeCell ref="C1151:C1152"/>
    <mergeCell ref="D1151:D1152"/>
    <mergeCell ref="C1176:E1176"/>
    <mergeCell ref="G1208:H1208"/>
    <mergeCell ref="E1151:E1152"/>
    <mergeCell ref="A1267:B1267"/>
    <mergeCell ref="C1267:E1267"/>
    <mergeCell ref="G1267:H1267"/>
    <mergeCell ref="A1266:B1266"/>
    <mergeCell ref="C1266:E1266"/>
    <mergeCell ref="G1266:H1266"/>
    <mergeCell ref="D1190:D1191"/>
    <mergeCell ref="E1227:E1228"/>
    <mergeCell ref="G1261:H1261"/>
    <mergeCell ref="A1262:B1262"/>
    <mergeCell ref="C1262:E1262"/>
    <mergeCell ref="G1262:H1262"/>
    <mergeCell ref="A1212:B1212"/>
    <mergeCell ref="C1212:E1212"/>
    <mergeCell ref="G1212:H1212"/>
    <mergeCell ref="A1186:H1186"/>
    <mergeCell ref="A1187:H1187"/>
    <mergeCell ref="B1190:B1191"/>
    <mergeCell ref="C1190:C1191"/>
    <mergeCell ref="E1190:E1191"/>
    <mergeCell ref="G1207:H1207"/>
    <mergeCell ref="A1190:A1191"/>
    <mergeCell ref="G1176:H1176"/>
    <mergeCell ref="A1222:H1222"/>
    <mergeCell ref="A1223:H1223"/>
    <mergeCell ref="A1224:H1224"/>
    <mergeCell ref="A1227:A1228"/>
    <mergeCell ref="B1227:B1228"/>
    <mergeCell ref="C1227:C1228"/>
    <mergeCell ref="D1227:D1228"/>
    <mergeCell ref="G1290:H1290"/>
    <mergeCell ref="A1291:B1291"/>
    <mergeCell ref="C1291:E1291"/>
    <mergeCell ref="G1291:H1291"/>
    <mergeCell ref="A1271:H1271"/>
    <mergeCell ref="A1272:H1272"/>
    <mergeCell ref="A1273:H1273"/>
    <mergeCell ref="A1276:A1277"/>
    <mergeCell ref="B1276:B1277"/>
    <mergeCell ref="C1276:C1277"/>
    <mergeCell ref="D1276:D1277"/>
    <mergeCell ref="E1276:E1277"/>
    <mergeCell ref="A1337:B1337"/>
    <mergeCell ref="C1337:E1337"/>
    <mergeCell ref="G1337:H1337"/>
    <mergeCell ref="A1338:B1338"/>
    <mergeCell ref="C1338:E1338"/>
    <mergeCell ref="G1338:H1338"/>
    <mergeCell ref="D1306:D1307"/>
    <mergeCell ref="E1306:E1307"/>
    <mergeCell ref="G1332:H1332"/>
    <mergeCell ref="A1333:B1333"/>
    <mergeCell ref="C1333:E1333"/>
    <mergeCell ref="G1333:H1333"/>
    <mergeCell ref="A1306:A1307"/>
    <mergeCell ref="B1306:B1307"/>
    <mergeCell ref="C1306:C1307"/>
    <mergeCell ref="A1296:B1296"/>
    <mergeCell ref="C1296:E1296"/>
    <mergeCell ref="G1296:H1296"/>
    <mergeCell ref="A1295:B1295"/>
    <mergeCell ref="C1295:E1295"/>
    <mergeCell ref="G1295:H1295"/>
    <mergeCell ref="A1301:H1301"/>
    <mergeCell ref="A1302:H1302"/>
    <mergeCell ref="A1303:H1303"/>
    <mergeCell ref="A1441:B1441"/>
    <mergeCell ref="C1441:E1441"/>
    <mergeCell ref="G1441:H1441"/>
    <mergeCell ref="A1445:B1445"/>
    <mergeCell ref="C1445:E1445"/>
    <mergeCell ref="G1445:H1445"/>
    <mergeCell ref="A1373:B1373"/>
    <mergeCell ref="C1373:E1373"/>
    <mergeCell ref="G1373:H1373"/>
    <mergeCell ref="A1341:H1341"/>
    <mergeCell ref="A1342:H1342"/>
    <mergeCell ref="A1346:A1347"/>
    <mergeCell ref="B1346:B1347"/>
    <mergeCell ref="C1346:C1347"/>
    <mergeCell ref="D1346:D1347"/>
    <mergeCell ref="E1346:E1347"/>
    <mergeCell ref="E1384:E1385"/>
    <mergeCell ref="G1440:H1440"/>
    <mergeCell ref="A1343:H1343"/>
    <mergeCell ref="A1372:B1372"/>
    <mergeCell ref="C1372:E1372"/>
    <mergeCell ref="G1372:H1372"/>
    <mergeCell ref="G1367:H1367"/>
    <mergeCell ref="A1368:B1368"/>
    <mergeCell ref="C1368:E1368"/>
    <mergeCell ref="G1368:H1368"/>
    <mergeCell ref="A1590:B1590"/>
    <mergeCell ref="C1590:E1590"/>
    <mergeCell ref="G1590:H1590"/>
    <mergeCell ref="A1540:B1540"/>
    <mergeCell ref="C1540:E1540"/>
    <mergeCell ref="G1540:H1540"/>
    <mergeCell ref="A1379:H1379"/>
    <mergeCell ref="A1380:H1380"/>
    <mergeCell ref="A1381:H1381"/>
    <mergeCell ref="A1384:A1385"/>
    <mergeCell ref="B1384:B1385"/>
    <mergeCell ref="C1384:C1385"/>
    <mergeCell ref="D1384:D1385"/>
    <mergeCell ref="E1456:E1457"/>
    <mergeCell ref="G1534:H1534"/>
    <mergeCell ref="A1535:B1535"/>
    <mergeCell ref="C1535:E1535"/>
    <mergeCell ref="G1535:H1535"/>
    <mergeCell ref="A1539:B1539"/>
    <mergeCell ref="C1539:E1539"/>
    <mergeCell ref="G1539:H1539"/>
    <mergeCell ref="A1446:B1446"/>
    <mergeCell ref="C1446:E1446"/>
    <mergeCell ref="G1446:H1446"/>
    <mergeCell ref="A1451:H1451"/>
    <mergeCell ref="A1452:H1452"/>
    <mergeCell ref="A1453:H1453"/>
    <mergeCell ref="A1456:A1457"/>
    <mergeCell ref="B1456:B1457"/>
    <mergeCell ref="C1456:C1457"/>
    <mergeCell ref="D1456:D1457"/>
    <mergeCell ref="E1552:E1553"/>
    <mergeCell ref="G1585:H1585"/>
    <mergeCell ref="A1632:B1632"/>
    <mergeCell ref="C1632:E1632"/>
    <mergeCell ref="G1632:H1632"/>
    <mergeCell ref="A1547:H1547"/>
    <mergeCell ref="A1548:H1548"/>
    <mergeCell ref="A1549:H1549"/>
    <mergeCell ref="A1552:A1553"/>
    <mergeCell ref="B1552:B1553"/>
    <mergeCell ref="C1552:C1553"/>
    <mergeCell ref="D1552:D1553"/>
    <mergeCell ref="E1606:E1607"/>
    <mergeCell ref="G1626:H1626"/>
    <mergeCell ref="A1627:B1627"/>
    <mergeCell ref="C1627:E1627"/>
    <mergeCell ref="G1627:H1627"/>
    <mergeCell ref="A1631:B1631"/>
    <mergeCell ref="C1631:E1631"/>
    <mergeCell ref="G1631:H1631"/>
    <mergeCell ref="A1591:B1591"/>
    <mergeCell ref="C1591:E1591"/>
    <mergeCell ref="G1591:H1591"/>
    <mergeCell ref="A1586:B1586"/>
    <mergeCell ref="C1586:E1586"/>
    <mergeCell ref="G1586:H1586"/>
    <mergeCell ref="A1675:B1675"/>
    <mergeCell ref="C1675:E1675"/>
    <mergeCell ref="G1675:H1675"/>
    <mergeCell ref="A1601:H1601"/>
    <mergeCell ref="A1602:H1602"/>
    <mergeCell ref="A1603:H1603"/>
    <mergeCell ref="A1606:A1607"/>
    <mergeCell ref="B1606:B1607"/>
    <mergeCell ref="C1606:C1607"/>
    <mergeCell ref="D1606:D1607"/>
    <mergeCell ref="G1669:H1669"/>
    <mergeCell ref="A1670:B1670"/>
    <mergeCell ref="C1670:E1670"/>
    <mergeCell ref="G1670:H1670"/>
    <mergeCell ref="A1674:B1674"/>
    <mergeCell ref="C1674:E1674"/>
    <mergeCell ref="G1674:H1674"/>
    <mergeCell ref="A1639:H1639"/>
    <mergeCell ref="A1640:H1640"/>
    <mergeCell ref="A1641:H1641"/>
    <mergeCell ref="A1644:A1645"/>
    <mergeCell ref="B1644:B1645"/>
    <mergeCell ref="C1644:C1645"/>
    <mergeCell ref="D1644:D1645"/>
    <mergeCell ref="E1644:E1645"/>
    <mergeCell ref="D1841:F1841"/>
    <mergeCell ref="B1845:E1845"/>
    <mergeCell ref="A2132:B2132"/>
    <mergeCell ref="C2132:E2132"/>
    <mergeCell ref="A2100:H2100"/>
    <mergeCell ref="A2101:H2101"/>
    <mergeCell ref="A2102:H2102"/>
    <mergeCell ref="A2105:A2106"/>
    <mergeCell ref="B2105:B2106"/>
    <mergeCell ref="C2105:C2106"/>
    <mergeCell ref="G2132:H2132"/>
    <mergeCell ref="G2126:H2126"/>
    <mergeCell ref="A2127:B2127"/>
    <mergeCell ref="C2127:E2127"/>
    <mergeCell ref="G2127:H2127"/>
    <mergeCell ref="A2131:B2131"/>
    <mergeCell ref="C2131:E2131"/>
    <mergeCell ref="G2131:H2131"/>
    <mergeCell ref="A2084:B2084"/>
    <mergeCell ref="C2084:E2084"/>
    <mergeCell ref="G2084:H2084"/>
    <mergeCell ref="D2105:D2106"/>
    <mergeCell ref="E2105:E2106"/>
    <mergeCell ref="A2085:B2085"/>
    <mergeCell ref="C2085:E2085"/>
    <mergeCell ref="A2051:A2052"/>
    <mergeCell ref="B2051:B2052"/>
    <mergeCell ref="C2051:C2052"/>
    <mergeCell ref="D2051:D2052"/>
    <mergeCell ref="E2051:E2052"/>
    <mergeCell ref="G2085:H2085"/>
    <mergeCell ref="G2079:H2079"/>
    <mergeCell ref="A2080:B2080"/>
    <mergeCell ref="C2080:E2080"/>
    <mergeCell ref="G2080:H2080"/>
    <mergeCell ref="A2039:B2039"/>
    <mergeCell ref="C2039:E2039"/>
    <mergeCell ref="G2039:H2039"/>
    <mergeCell ref="A2046:H2046"/>
    <mergeCell ref="A2047:H2047"/>
    <mergeCell ref="A2048:H2048"/>
    <mergeCell ref="A2034:B2034"/>
    <mergeCell ref="C2034:E2034"/>
    <mergeCell ref="G2034:H2034"/>
    <mergeCell ref="A2038:B2038"/>
    <mergeCell ref="C2038:E2038"/>
    <mergeCell ref="G2038:H2038"/>
    <mergeCell ref="D2000:D2001"/>
    <mergeCell ref="E2000:E2001"/>
    <mergeCell ref="F2015:G2015"/>
    <mergeCell ref="F2021:G2021"/>
    <mergeCell ref="F2027:G2027"/>
    <mergeCell ref="G2033:H2033"/>
    <mergeCell ref="F2009:G2009"/>
    <mergeCell ref="A1992:B1992"/>
    <mergeCell ref="C1992:E1992"/>
    <mergeCell ref="G1992:H1992"/>
    <mergeCell ref="A1995:H1995"/>
    <mergeCell ref="A1996:H1996"/>
    <mergeCell ref="A1997:H1997"/>
    <mergeCell ref="A2000:A2001"/>
    <mergeCell ref="B2000:B2001"/>
    <mergeCell ref="C2000:C2001"/>
    <mergeCell ref="G1986:H1986"/>
    <mergeCell ref="A1987:B1987"/>
    <mergeCell ref="C1987:E1987"/>
    <mergeCell ref="G1987:H1987"/>
    <mergeCell ref="A1991:B1991"/>
    <mergeCell ref="C1991:E1991"/>
    <mergeCell ref="G1991:H1991"/>
    <mergeCell ref="A1956:H1956"/>
    <mergeCell ref="A1957:H1957"/>
    <mergeCell ref="A1958:H1958"/>
    <mergeCell ref="A1961:A1962"/>
    <mergeCell ref="B1961:B1962"/>
    <mergeCell ref="C1961:C1962"/>
    <mergeCell ref="D1961:D1962"/>
    <mergeCell ref="E1961:E1962"/>
    <mergeCell ref="C1950:E1950"/>
    <mergeCell ref="G1950:H1950"/>
    <mergeCell ref="G1944:H1944"/>
    <mergeCell ref="A1945:B1945"/>
    <mergeCell ref="C1945:E1945"/>
    <mergeCell ref="A1890:B1890"/>
    <mergeCell ref="C1890:E1890"/>
    <mergeCell ref="G1890:H1890"/>
    <mergeCell ref="G1945:H1945"/>
    <mergeCell ref="A1902:H1902"/>
    <mergeCell ref="A1903:H1903"/>
    <mergeCell ref="A1904:H1904"/>
    <mergeCell ref="A1907:A1908"/>
    <mergeCell ref="B1907:B1908"/>
    <mergeCell ref="C1907:C1908"/>
    <mergeCell ref="D1907:D1908"/>
    <mergeCell ref="E1907:E1908"/>
    <mergeCell ref="B2146:B2147"/>
    <mergeCell ref="C2146:C2147"/>
    <mergeCell ref="A1862:H1862"/>
    <mergeCell ref="A1863:H1863"/>
    <mergeCell ref="A1864:H1864"/>
    <mergeCell ref="A1867:A1868"/>
    <mergeCell ref="B1867:B1868"/>
    <mergeCell ref="C1867:C1868"/>
    <mergeCell ref="D1867:D1868"/>
    <mergeCell ref="D2146:D2147"/>
    <mergeCell ref="E2146:E2147"/>
    <mergeCell ref="H1870:H1871"/>
    <mergeCell ref="A1894:B1894"/>
    <mergeCell ref="C1894:E1894"/>
    <mergeCell ref="G1894:H1894"/>
    <mergeCell ref="A1895:B1895"/>
    <mergeCell ref="C1895:E1895"/>
    <mergeCell ref="G1895:H1895"/>
    <mergeCell ref="G1889:H1889"/>
    <mergeCell ref="E1867:E1868"/>
    <mergeCell ref="A1949:B1949"/>
    <mergeCell ref="C1949:E1949"/>
    <mergeCell ref="G1949:H1949"/>
    <mergeCell ref="A1950:B1950"/>
    <mergeCell ref="A2179:B2179"/>
    <mergeCell ref="C2179:E2179"/>
    <mergeCell ref="G2179:H2179"/>
    <mergeCell ref="A2180:B2180"/>
    <mergeCell ref="C2180:E2180"/>
    <mergeCell ref="G2180:H2180"/>
    <mergeCell ref="C1849:E1849"/>
    <mergeCell ref="G1849:H1849"/>
    <mergeCell ref="A1812:H1812"/>
    <mergeCell ref="A1813:H1813"/>
    <mergeCell ref="A1814:H1814"/>
    <mergeCell ref="A1817:A1818"/>
    <mergeCell ref="B1817:B1818"/>
    <mergeCell ref="C1817:C1818"/>
    <mergeCell ref="D1817:D1818"/>
    <mergeCell ref="E1817:E1818"/>
    <mergeCell ref="G2174:H2174"/>
    <mergeCell ref="A2175:B2175"/>
    <mergeCell ref="C2175:E2175"/>
    <mergeCell ref="G2175:H2175"/>
    <mergeCell ref="A2141:H2141"/>
    <mergeCell ref="A2142:H2142"/>
    <mergeCell ref="A2143:H2143"/>
    <mergeCell ref="A2146:A2147"/>
    <mergeCell ref="A1854:B1854"/>
    <mergeCell ref="C1854:E1854"/>
    <mergeCell ref="G1854:H1854"/>
    <mergeCell ref="G1848:H1848"/>
    <mergeCell ref="A1849:B1849"/>
    <mergeCell ref="G1799:H1799"/>
    <mergeCell ref="A1800:B1800"/>
    <mergeCell ref="C1800:E1800"/>
    <mergeCell ref="G1800:H1800"/>
    <mergeCell ref="A1805:B1805"/>
    <mergeCell ref="C1805:E1805"/>
    <mergeCell ref="G1805:H1805"/>
    <mergeCell ref="A1768:B1768"/>
    <mergeCell ref="C1768:E1768"/>
    <mergeCell ref="G1768:H1768"/>
    <mergeCell ref="A1769:B1769"/>
    <mergeCell ref="C1769:E1769"/>
    <mergeCell ref="G1769:H1769"/>
    <mergeCell ref="G1763:H1763"/>
    <mergeCell ref="A1764:B1764"/>
    <mergeCell ref="A1853:B1853"/>
    <mergeCell ref="C1853:E1853"/>
    <mergeCell ref="G1853:H1853"/>
    <mergeCell ref="A1774:H1774"/>
    <mergeCell ref="A1775:H1775"/>
    <mergeCell ref="A1776:H1776"/>
    <mergeCell ref="A1779:A1780"/>
    <mergeCell ref="B1779:B1780"/>
    <mergeCell ref="C1779:C1780"/>
    <mergeCell ref="A1804:B1804"/>
    <mergeCell ref="C1804:E1804"/>
    <mergeCell ref="G1804:H1804"/>
    <mergeCell ref="D1779:D1780"/>
    <mergeCell ref="E1779:E1780"/>
    <mergeCell ref="A1722:B1722"/>
    <mergeCell ref="C1722:E1722"/>
    <mergeCell ref="G1722:H1722"/>
    <mergeCell ref="C1764:E1764"/>
    <mergeCell ref="G1764:H1764"/>
    <mergeCell ref="A1729:H1729"/>
    <mergeCell ref="A1730:H1730"/>
    <mergeCell ref="A1731:H1731"/>
    <mergeCell ref="A1734:A1735"/>
    <mergeCell ref="B1734:B1735"/>
    <mergeCell ref="C1734:C1735"/>
    <mergeCell ref="D1734:D1735"/>
    <mergeCell ref="E1734:E1735"/>
    <mergeCell ref="A1680:H1680"/>
    <mergeCell ref="A1681:H1681"/>
    <mergeCell ref="A1682:H1682"/>
    <mergeCell ref="A1685:A1686"/>
    <mergeCell ref="B1685:B1686"/>
    <mergeCell ref="C1685:C1686"/>
    <mergeCell ref="A1721:B1721"/>
    <mergeCell ref="C1721:E1721"/>
    <mergeCell ref="G1721:H1721"/>
    <mergeCell ref="D1685:D1686"/>
    <mergeCell ref="E1685:E1686"/>
    <mergeCell ref="G1716:H1716"/>
    <mergeCell ref="A1717:B1717"/>
    <mergeCell ref="C1717:E1717"/>
    <mergeCell ref="G1717:H1717"/>
    <mergeCell ref="A1107:A1108"/>
    <mergeCell ref="B1107:B1108"/>
    <mergeCell ref="C1107:C1108"/>
    <mergeCell ref="D1107:D1108"/>
    <mergeCell ref="E1107:E1108"/>
    <mergeCell ref="C1102:H1102"/>
    <mergeCell ref="C1103:H1103"/>
    <mergeCell ref="C1104:H1104"/>
    <mergeCell ref="A1138:B1138"/>
    <mergeCell ref="C1138:E1138"/>
    <mergeCell ref="G1138:H1138"/>
    <mergeCell ref="G1132:H1132"/>
    <mergeCell ref="A1133:B1133"/>
    <mergeCell ref="C1133:E1133"/>
    <mergeCell ref="G1133:H1133"/>
    <mergeCell ref="A1137:B1137"/>
    <mergeCell ref="C1137:E1137"/>
    <mergeCell ref="G1137:H1137"/>
    <mergeCell ref="C678:H678"/>
    <mergeCell ref="B677:H677"/>
    <mergeCell ref="G704:H704"/>
    <mergeCell ref="A705:B705"/>
    <mergeCell ref="G1091:H1091"/>
    <mergeCell ref="C1055:H1055"/>
    <mergeCell ref="C1056:H1056"/>
    <mergeCell ref="C1057:H1057"/>
    <mergeCell ref="A1060:A1061"/>
    <mergeCell ref="B1060:B1061"/>
    <mergeCell ref="C1060:C1061"/>
    <mergeCell ref="D1060:D1061"/>
    <mergeCell ref="E1060:E1061"/>
    <mergeCell ref="C1015:C1016"/>
    <mergeCell ref="A1003:B1003"/>
    <mergeCell ref="C1003:E1003"/>
    <mergeCell ref="G1003:H1003"/>
    <mergeCell ref="C962:H962"/>
    <mergeCell ref="G997:H997"/>
    <mergeCell ref="A998:B998"/>
    <mergeCell ref="C998:E998"/>
    <mergeCell ref="G998:H998"/>
    <mergeCell ref="A1002:B1002"/>
    <mergeCell ref="C1002:E1002"/>
    <mergeCell ref="G709:H709"/>
    <mergeCell ref="A681:A682"/>
    <mergeCell ref="B681:B682"/>
    <mergeCell ref="C681:C682"/>
    <mergeCell ref="D681:D682"/>
    <mergeCell ref="E681:E682"/>
    <mergeCell ref="A710:B710"/>
    <mergeCell ref="C710:E710"/>
    <mergeCell ref="G710:H710"/>
    <mergeCell ref="C705:E705"/>
    <mergeCell ref="G705:H705"/>
    <mergeCell ref="A709:B709"/>
    <mergeCell ref="A1092:B1092"/>
    <mergeCell ref="C1092:E1092"/>
    <mergeCell ref="G1092:H1092"/>
    <mergeCell ref="G1086:H1086"/>
    <mergeCell ref="A1087:B1087"/>
    <mergeCell ref="C1087:E1087"/>
    <mergeCell ref="G1087:H1087"/>
    <mergeCell ref="A1091:B1091"/>
    <mergeCell ref="C1091:E1091"/>
    <mergeCell ref="C619:H619"/>
    <mergeCell ref="C620:H620"/>
    <mergeCell ref="C621:H621"/>
    <mergeCell ref="C622:H622"/>
    <mergeCell ref="A625:A626"/>
    <mergeCell ref="B625:B626"/>
    <mergeCell ref="C625:C626"/>
    <mergeCell ref="D625:D626"/>
    <mergeCell ref="E625:E626"/>
    <mergeCell ref="A674:B674"/>
    <mergeCell ref="C674:E674"/>
    <mergeCell ref="G674:H674"/>
    <mergeCell ref="G668:H668"/>
    <mergeCell ref="A669:B669"/>
    <mergeCell ref="C669:E669"/>
    <mergeCell ref="G669:H669"/>
    <mergeCell ref="A673:B673"/>
    <mergeCell ref="C673:E673"/>
    <mergeCell ref="G673:H673"/>
    <mergeCell ref="B676:H676"/>
    <mergeCell ref="C709:E709"/>
    <mergeCell ref="G458:H458"/>
    <mergeCell ref="A459:B459"/>
    <mergeCell ref="C459:E459"/>
    <mergeCell ref="C550:E550"/>
    <mergeCell ref="G550:H550"/>
    <mergeCell ref="A513:H513"/>
    <mergeCell ref="A514:H514"/>
    <mergeCell ref="A515:H515"/>
    <mergeCell ref="A518:A519"/>
    <mergeCell ref="B518:B519"/>
    <mergeCell ref="C518:C519"/>
    <mergeCell ref="D518:D519"/>
    <mergeCell ref="E518:E519"/>
    <mergeCell ref="A510:B510"/>
    <mergeCell ref="C510:E510"/>
    <mergeCell ref="G510:H510"/>
    <mergeCell ref="C467:H467"/>
    <mergeCell ref="C468:H468"/>
    <mergeCell ref="C469:H469"/>
    <mergeCell ref="G502:H502"/>
    <mergeCell ref="A503:B503"/>
    <mergeCell ref="C503:E503"/>
    <mergeCell ref="A551:B551"/>
    <mergeCell ref="C551:E551"/>
    <mergeCell ref="G551:H551"/>
    <mergeCell ref="G543:H543"/>
    <mergeCell ref="A544:B544"/>
    <mergeCell ref="C544:E544"/>
    <mergeCell ref="G544:H544"/>
    <mergeCell ref="A550:B550"/>
    <mergeCell ref="G459:H459"/>
    <mergeCell ref="A464:B464"/>
    <mergeCell ref="C464:E464"/>
    <mergeCell ref="G464:H464"/>
    <mergeCell ref="A465:B465"/>
    <mergeCell ref="C465:E465"/>
    <mergeCell ref="G465:H465"/>
    <mergeCell ref="C509:E509"/>
    <mergeCell ref="G509:H509"/>
    <mergeCell ref="A472:A473"/>
    <mergeCell ref="B472:B473"/>
    <mergeCell ref="C472:C473"/>
    <mergeCell ref="D472:D473"/>
    <mergeCell ref="E472:E473"/>
    <mergeCell ref="C421:H421"/>
    <mergeCell ref="C422:H422"/>
    <mergeCell ref="C424:H424"/>
    <mergeCell ref="A427:A428"/>
    <mergeCell ref="B427:B428"/>
    <mergeCell ref="C427:C428"/>
    <mergeCell ref="C381:H381"/>
    <mergeCell ref="C380:H380"/>
    <mergeCell ref="C379:H379"/>
    <mergeCell ref="C423:H423"/>
    <mergeCell ref="G412:H412"/>
    <mergeCell ref="A384:A385"/>
    <mergeCell ref="B384:B385"/>
    <mergeCell ref="C384:C385"/>
    <mergeCell ref="D384:D385"/>
    <mergeCell ref="E384:E385"/>
    <mergeCell ref="D427:D428"/>
    <mergeCell ref="E427:E428"/>
    <mergeCell ref="A419:B419"/>
    <mergeCell ref="C419:E419"/>
    <mergeCell ref="G419:H419"/>
    <mergeCell ref="A418:B418"/>
    <mergeCell ref="C418:E418"/>
    <mergeCell ref="G418:H418"/>
    <mergeCell ref="A413:B413"/>
    <mergeCell ref="C413:E413"/>
    <mergeCell ref="G413:H413"/>
    <mergeCell ref="C341:H341"/>
    <mergeCell ref="A344:A345"/>
    <mergeCell ref="B344:B345"/>
    <mergeCell ref="C344:C345"/>
    <mergeCell ref="D344:D345"/>
    <mergeCell ref="C372:E372"/>
    <mergeCell ref="G372:H372"/>
    <mergeCell ref="A376:B376"/>
    <mergeCell ref="A377:B377"/>
    <mergeCell ref="C377:E377"/>
    <mergeCell ref="G377:H377"/>
    <mergeCell ref="C340:H340"/>
    <mergeCell ref="C339:H339"/>
    <mergeCell ref="G371:H371"/>
    <mergeCell ref="A372:B372"/>
    <mergeCell ref="C332:E332"/>
    <mergeCell ref="G332:H332"/>
    <mergeCell ref="C376:E376"/>
    <mergeCell ref="G376:H376"/>
    <mergeCell ref="G336:H336"/>
    <mergeCell ref="A332:B332"/>
    <mergeCell ref="E344:E345"/>
    <mergeCell ref="A337:B337"/>
    <mergeCell ref="C337:E337"/>
    <mergeCell ref="G337:H337"/>
    <mergeCell ref="A336:B336"/>
    <mergeCell ref="C336:E336"/>
    <mergeCell ref="C227:C228"/>
    <mergeCell ref="D227:D228"/>
    <mergeCell ref="E227:E228"/>
    <mergeCell ref="A260:B260"/>
    <mergeCell ref="C260:E260"/>
    <mergeCell ref="G260:H260"/>
    <mergeCell ref="A259:B259"/>
    <mergeCell ref="C259:E259"/>
    <mergeCell ref="C299:H299"/>
    <mergeCell ref="C298:H298"/>
    <mergeCell ref="C297:H297"/>
    <mergeCell ref="A255:B255"/>
    <mergeCell ref="C255:E255"/>
    <mergeCell ref="G255:H255"/>
    <mergeCell ref="G289:H289"/>
    <mergeCell ref="A267:A268"/>
    <mergeCell ref="B267:B268"/>
    <mergeCell ref="C267:C268"/>
    <mergeCell ref="D267:D268"/>
    <mergeCell ref="E267:E268"/>
    <mergeCell ref="C264:H264"/>
    <mergeCell ref="C263:H263"/>
    <mergeCell ref="C262:H262"/>
    <mergeCell ref="A295:B295"/>
    <mergeCell ref="C295:E295"/>
    <mergeCell ref="G295:H295"/>
    <mergeCell ref="A294:B294"/>
    <mergeCell ref="C294:E294"/>
    <mergeCell ref="G259:H259"/>
    <mergeCell ref="G331:H331"/>
    <mergeCell ref="A302:A303"/>
    <mergeCell ref="B302:B303"/>
    <mergeCell ref="C302:C303"/>
    <mergeCell ref="D302:D303"/>
    <mergeCell ref="E302:E303"/>
    <mergeCell ref="C224:H224"/>
    <mergeCell ref="C223:H223"/>
    <mergeCell ref="C222:H222"/>
    <mergeCell ref="G254:H254"/>
    <mergeCell ref="A227:A228"/>
    <mergeCell ref="C2:H2"/>
    <mergeCell ref="C3:H3"/>
    <mergeCell ref="C4:H4"/>
    <mergeCell ref="A7:A8"/>
    <mergeCell ref="B7:B8"/>
    <mergeCell ref="C7:C8"/>
    <mergeCell ref="D7:D8"/>
    <mergeCell ref="E7:E8"/>
    <mergeCell ref="A40:B40"/>
    <mergeCell ref="C40:E40"/>
    <mergeCell ref="G40:H40"/>
    <mergeCell ref="G34:H34"/>
    <mergeCell ref="A35:B35"/>
    <mergeCell ref="C35:E35"/>
    <mergeCell ref="G35:H35"/>
    <mergeCell ref="A39:B39"/>
    <mergeCell ref="C39:E39"/>
    <mergeCell ref="G39:H39"/>
    <mergeCell ref="B227:B228"/>
  </mergeCells>
  <printOptions horizontalCentered="1"/>
  <pageMargins left="0.11811023622047245" right="0.11811023622047245" top="1.0629921259842521" bottom="0.11811023622047245" header="1.1811023622047245" footer="0.19685039370078741"/>
  <pageSetup paperSize="256" scale="10" firstPageNumber="4294963191" orientation="landscape" horizontalDpi="4294967293" verticalDpi="4294967293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1:L940"/>
  <sheetViews>
    <sheetView topLeftCell="A930" workbookViewId="0">
      <selection activeCell="F943" sqref="F943"/>
    </sheetView>
  </sheetViews>
  <sheetFormatPr defaultColWidth="9.109375" defaultRowHeight="14.4"/>
  <cols>
    <col min="1" max="1" width="2.6640625" customWidth="1"/>
    <col min="2" max="2" width="3" customWidth="1"/>
    <col min="3" max="3" width="57.109375" customWidth="1"/>
    <col min="4" max="4" width="7.5546875" bestFit="1" customWidth="1"/>
    <col min="5" max="5" width="7" customWidth="1"/>
    <col min="6" max="6" width="16.5546875" customWidth="1"/>
    <col min="7" max="7" width="12.5546875" customWidth="1"/>
    <col min="8" max="8" width="12.5546875" bestFit="1" customWidth="1"/>
    <col min="9" max="9" width="12.6640625" bestFit="1" customWidth="1"/>
    <col min="10" max="10" width="11.33203125" customWidth="1"/>
    <col min="11" max="11" width="12.44140625" bestFit="1" customWidth="1"/>
    <col min="12" max="12" width="11.44140625" bestFit="1" customWidth="1"/>
    <col min="14" max="14" width="12.88671875" bestFit="1" customWidth="1"/>
  </cols>
  <sheetData>
    <row r="1" spans="1:10" ht="18">
      <c r="A1" s="1625" t="s">
        <v>528</v>
      </c>
      <c r="B1" s="1625"/>
      <c r="C1" s="1625"/>
      <c r="D1" s="1625"/>
      <c r="E1" s="1625"/>
      <c r="F1" s="1625"/>
      <c r="G1" s="1625"/>
      <c r="H1" s="1625"/>
      <c r="I1" s="1625"/>
    </row>
    <row r="2" spans="1:10" ht="15.6">
      <c r="A2" s="1626" t="s">
        <v>761</v>
      </c>
      <c r="B2" s="1626"/>
      <c r="C2" s="1626"/>
      <c r="D2" s="1626"/>
      <c r="E2" s="1626"/>
      <c r="F2" s="1626"/>
      <c r="G2" s="1626"/>
      <c r="H2" s="1626"/>
      <c r="I2" s="1626"/>
      <c r="J2" s="476"/>
    </row>
    <row r="3" spans="1:10" ht="15.6">
      <c r="A3" s="1626" t="s">
        <v>762</v>
      </c>
      <c r="B3" s="1626"/>
      <c r="C3" s="1626"/>
      <c r="D3" s="1626"/>
      <c r="E3" s="1626"/>
      <c r="F3" s="1626"/>
      <c r="G3" s="1626"/>
      <c r="H3" s="1626"/>
      <c r="I3" s="1626"/>
      <c r="J3" s="1132"/>
    </row>
    <row r="4" spans="1:10">
      <c r="J4" s="1132"/>
    </row>
    <row r="5" spans="1:10" ht="15" thickBot="1">
      <c r="B5" s="520" t="s">
        <v>265</v>
      </c>
      <c r="C5" t="s">
        <v>763</v>
      </c>
      <c r="J5" s="3"/>
    </row>
    <row r="6" spans="1:10" ht="18" customHeight="1" thickTop="1">
      <c r="C6" t="s">
        <v>764</v>
      </c>
      <c r="J6" s="479" t="s">
        <v>434</v>
      </c>
    </row>
    <row r="7" spans="1:10" ht="18" customHeight="1">
      <c r="C7" s="833" t="s">
        <v>1927</v>
      </c>
      <c r="J7" s="481" t="s">
        <v>11</v>
      </c>
    </row>
    <row r="8" spans="1:10" ht="18" customHeight="1">
      <c r="C8" s="832" t="s">
        <v>1928</v>
      </c>
      <c r="D8" t="s">
        <v>555</v>
      </c>
      <c r="E8" s="1671">
        <v>500000</v>
      </c>
      <c r="F8" s="1671"/>
      <c r="G8" s="1671"/>
      <c r="J8" s="486"/>
    </row>
    <row r="9" spans="1:10" ht="18" customHeight="1">
      <c r="C9" s="584" t="s">
        <v>767</v>
      </c>
      <c r="J9" s="492"/>
    </row>
    <row r="10" spans="1:10" ht="18" customHeight="1">
      <c r="C10" s="832" t="s">
        <v>1929</v>
      </c>
      <c r="D10" t="s">
        <v>555</v>
      </c>
      <c r="E10" s="835" t="s">
        <v>1932</v>
      </c>
      <c r="F10" s="535"/>
      <c r="G10" s="535"/>
      <c r="H10" s="536"/>
      <c r="J10" s="492"/>
    </row>
    <row r="11" spans="1:10" ht="18" customHeight="1">
      <c r="C11" s="832" t="s">
        <v>1930</v>
      </c>
      <c r="D11" t="s">
        <v>555</v>
      </c>
      <c r="E11" s="1669">
        <v>664632</v>
      </c>
      <c r="F11" s="1669"/>
      <c r="G11" s="1669"/>
      <c r="H11" s="1669"/>
      <c r="J11" s="492"/>
    </row>
    <row r="12" spans="1:10" ht="18" customHeight="1">
      <c r="C12" s="832" t="s">
        <v>1931</v>
      </c>
      <c r="E12" s="537"/>
      <c r="F12" s="537"/>
      <c r="G12" s="537"/>
      <c r="H12" s="537"/>
      <c r="J12" s="492"/>
    </row>
    <row r="13" spans="1:10" ht="18" customHeight="1">
      <c r="E13" s="537"/>
      <c r="F13" s="537"/>
      <c r="G13" s="537"/>
      <c r="H13" s="537"/>
      <c r="J13" s="492"/>
    </row>
    <row r="14" spans="1:10" ht="18" customHeight="1">
      <c r="C14" s="584" t="s">
        <v>772</v>
      </c>
      <c r="D14" t="s">
        <v>555</v>
      </c>
      <c r="E14" t="s">
        <v>773</v>
      </c>
      <c r="J14" s="492"/>
    </row>
    <row r="15" spans="1:10" ht="18" customHeight="1">
      <c r="C15" s="832" t="s">
        <v>1933</v>
      </c>
      <c r="D15" t="s">
        <v>555</v>
      </c>
      <c r="E15" s="1669">
        <v>132183.557</v>
      </c>
      <c r="F15" s="1669"/>
      <c r="G15" s="1669"/>
      <c r="H15" s="1669"/>
      <c r="J15" s="492"/>
    </row>
    <row r="16" spans="1:10" ht="18" customHeight="1">
      <c r="C16" s="832" t="s">
        <v>1934</v>
      </c>
      <c r="J16" s="492"/>
    </row>
    <row r="17" spans="2:10" ht="18" customHeight="1">
      <c r="C17" s="833" t="s">
        <v>1935</v>
      </c>
      <c r="E17" s="1636"/>
      <c r="F17" s="1636"/>
      <c r="G17" s="1636"/>
      <c r="J17" s="492"/>
    </row>
    <row r="18" spans="2:10" ht="18" customHeight="1" thickBot="1">
      <c r="D18" s="530"/>
      <c r="E18" s="534"/>
      <c r="F18" s="534"/>
      <c r="G18" s="534"/>
      <c r="H18" s="530"/>
      <c r="J18" s="492"/>
    </row>
    <row r="19" spans="2:10" ht="18" customHeight="1">
      <c r="C19" t="s">
        <v>777</v>
      </c>
      <c r="D19" t="s">
        <v>555</v>
      </c>
      <c r="E19" s="1670">
        <f>E8+E11+E15</f>
        <v>1296815.557</v>
      </c>
      <c r="F19" s="1670"/>
      <c r="G19" s="1670"/>
      <c r="H19" s="1670"/>
      <c r="J19" s="492"/>
    </row>
    <row r="20" spans="2:10" ht="18" customHeight="1">
      <c r="C20" t="s">
        <v>778</v>
      </c>
      <c r="D20" t="s">
        <v>555</v>
      </c>
      <c r="E20" s="1670">
        <f>ROUND(E19,-2)</f>
        <v>1296800</v>
      </c>
      <c r="F20" s="1670"/>
      <c r="G20" s="1670"/>
      <c r="H20" s="1670"/>
      <c r="J20" s="492"/>
    </row>
    <row r="21" spans="2:10" ht="18" customHeight="1">
      <c r="E21" s="1636"/>
      <c r="F21" s="1636"/>
      <c r="G21" s="1636"/>
      <c r="J21" s="492"/>
    </row>
    <row r="22" spans="2:10" ht="18" customHeight="1">
      <c r="B22" s="520" t="s">
        <v>442</v>
      </c>
      <c r="C22" t="s">
        <v>779</v>
      </c>
      <c r="E22" s="1636"/>
      <c r="F22" s="1636"/>
      <c r="G22" s="1636"/>
      <c r="J22" s="492"/>
    </row>
    <row r="23" spans="2:10" ht="18" customHeight="1">
      <c r="C23" t="s">
        <v>780</v>
      </c>
      <c r="E23" s="1636"/>
      <c r="F23" s="1636"/>
      <c r="G23" s="1636"/>
      <c r="J23" s="494">
        <f>SUM(I45:I57)</f>
        <v>16668160</v>
      </c>
    </row>
    <row r="24" spans="2:10" ht="18" customHeight="1">
      <c r="C24" s="584" t="s">
        <v>781</v>
      </c>
      <c r="D24" t="s">
        <v>555</v>
      </c>
      <c r="E24" s="533" t="s">
        <v>782</v>
      </c>
      <c r="F24" s="533"/>
      <c r="G24" s="533"/>
      <c r="J24" s="498"/>
    </row>
    <row r="25" spans="2:10" ht="18" customHeight="1" thickBot="1">
      <c r="C25" t="s">
        <v>783</v>
      </c>
      <c r="D25" t="s">
        <v>555</v>
      </c>
      <c r="E25" s="533" t="s">
        <v>784</v>
      </c>
      <c r="F25" s="533"/>
      <c r="G25" s="533"/>
      <c r="J25" s="504"/>
    </row>
    <row r="26" spans="2:10" ht="18" customHeight="1" thickTop="1">
      <c r="D26" t="s">
        <v>555</v>
      </c>
      <c r="E26" s="1670">
        <v>1087344</v>
      </c>
      <c r="F26" s="1670"/>
      <c r="G26" s="1670"/>
      <c r="J26" s="509">
        <f>J23</f>
        <v>16668160</v>
      </c>
    </row>
    <row r="27" spans="2:10" ht="18" customHeight="1" thickBot="1">
      <c r="C27" s="584" t="s">
        <v>785</v>
      </c>
      <c r="D27" t="s">
        <v>555</v>
      </c>
      <c r="E27" s="533" t="s">
        <v>786</v>
      </c>
      <c r="F27" s="533"/>
      <c r="G27" s="533"/>
      <c r="J27" s="515">
        <f>ROUND(J26,-2)</f>
        <v>16668200</v>
      </c>
    </row>
    <row r="28" spans="2:10" ht="15" thickTop="1">
      <c r="C28" t="s">
        <v>787</v>
      </c>
      <c r="D28" t="s">
        <v>555</v>
      </c>
      <c r="E28" s="533" t="s">
        <v>788</v>
      </c>
      <c r="F28" s="533"/>
      <c r="G28" s="533"/>
      <c r="J28" s="517"/>
    </row>
    <row r="29" spans="2:10">
      <c r="D29" t="s">
        <v>555</v>
      </c>
      <c r="E29" s="1670">
        <v>180000</v>
      </c>
      <c r="F29" s="1670"/>
      <c r="G29" s="1670"/>
      <c r="J29" s="517"/>
    </row>
    <row r="30" spans="2:10">
      <c r="C30" s="584" t="s">
        <v>789</v>
      </c>
      <c r="D30" t="s">
        <v>555</v>
      </c>
      <c r="E30" s="533" t="s">
        <v>790</v>
      </c>
      <c r="J30" s="517"/>
    </row>
    <row r="31" spans="2:10">
      <c r="B31" s="520"/>
      <c r="D31" t="s">
        <v>555</v>
      </c>
      <c r="E31" s="1672">
        <v>9815.2000000000007</v>
      </c>
      <c r="F31" s="1672"/>
      <c r="G31" s="1672"/>
      <c r="J31" s="518"/>
    </row>
    <row r="32" spans="2:10">
      <c r="C32" s="584" t="s">
        <v>791</v>
      </c>
      <c r="D32" t="s">
        <v>555</v>
      </c>
      <c r="E32" s="533" t="s">
        <v>792</v>
      </c>
      <c r="J32" s="519"/>
    </row>
    <row r="33" spans="2:12">
      <c r="C33" t="s">
        <v>793</v>
      </c>
      <c r="D33" t="s">
        <v>555</v>
      </c>
      <c r="E33" s="1672">
        <v>119283.2</v>
      </c>
      <c r="F33" s="1672"/>
      <c r="G33" s="1672"/>
      <c r="J33" s="519"/>
    </row>
    <row r="34" spans="2:12" ht="15" thickBot="1">
      <c r="B34" s="520"/>
      <c r="D34" s="530"/>
      <c r="E34" s="1673"/>
      <c r="F34" s="1673"/>
      <c r="G34" s="1673"/>
      <c r="H34" s="530"/>
    </row>
    <row r="35" spans="2:12">
      <c r="C35" t="s">
        <v>777</v>
      </c>
      <c r="D35" t="s">
        <v>555</v>
      </c>
      <c r="E35" s="1672">
        <f>E26+E29+E31+E33</f>
        <v>1396442.4</v>
      </c>
      <c r="F35" s="1672"/>
      <c r="G35" s="1672"/>
      <c r="H35" s="1672"/>
    </row>
    <row r="36" spans="2:12">
      <c r="C36" t="s">
        <v>778</v>
      </c>
      <c r="D36" t="s">
        <v>555</v>
      </c>
      <c r="E36" s="1670">
        <f>ROUND(E35,-2)</f>
        <v>1396400</v>
      </c>
      <c r="F36" s="1670"/>
      <c r="G36" s="1670"/>
      <c r="H36" s="1670"/>
    </row>
    <row r="38" spans="2:12">
      <c r="B38" s="476" t="s">
        <v>528</v>
      </c>
      <c r="C38" s="476"/>
      <c r="D38" s="476"/>
      <c r="E38" s="476"/>
      <c r="F38" s="476"/>
      <c r="G38" s="476"/>
      <c r="H38" s="476"/>
      <c r="I38" s="476"/>
    </row>
    <row r="39" spans="2:12">
      <c r="B39" s="1132" t="s">
        <v>331</v>
      </c>
      <c r="C39" s="1132"/>
      <c r="D39" s="1132"/>
      <c r="E39" s="1132"/>
      <c r="F39" s="1132"/>
      <c r="G39" s="1132"/>
      <c r="H39" s="1132"/>
      <c r="I39" s="1132"/>
    </row>
    <row r="40" spans="2:12">
      <c r="B40" s="1132" t="s">
        <v>529</v>
      </c>
      <c r="C40" s="1132"/>
      <c r="D40" s="1132"/>
      <c r="E40" s="1132"/>
      <c r="F40" s="1132"/>
      <c r="G40" s="1132"/>
      <c r="H40" s="1132"/>
      <c r="I40" s="1132"/>
      <c r="K40" s="521"/>
    </row>
    <row r="41" spans="2:12" ht="15" thickBot="1">
      <c r="B41" s="3"/>
      <c r="C41" s="3"/>
      <c r="D41" s="3"/>
      <c r="E41" s="3"/>
      <c r="F41" s="3"/>
      <c r="G41" s="3"/>
      <c r="H41" s="3"/>
      <c r="I41" s="3"/>
      <c r="K41" s="521"/>
    </row>
    <row r="42" spans="2:12" ht="15" thickTop="1">
      <c r="B42" s="1656" t="s">
        <v>530</v>
      </c>
      <c r="C42" s="1654" t="s">
        <v>428</v>
      </c>
      <c r="D42" s="477"/>
      <c r="E42" s="1654" t="s">
        <v>531</v>
      </c>
      <c r="F42" s="1654" t="s">
        <v>430</v>
      </c>
      <c r="G42" s="1654" t="s">
        <v>532</v>
      </c>
      <c r="H42" s="478" t="s">
        <v>432</v>
      </c>
      <c r="I42" s="478" t="s">
        <v>533</v>
      </c>
      <c r="K42" s="521"/>
    </row>
    <row r="43" spans="2:12">
      <c r="B43" s="1657"/>
      <c r="C43" s="1655"/>
      <c r="D43" s="480"/>
      <c r="E43" s="1655"/>
      <c r="F43" s="1655"/>
      <c r="G43" s="1655"/>
      <c r="H43" s="480" t="s">
        <v>11</v>
      </c>
      <c r="I43" s="480" t="s">
        <v>11</v>
      </c>
      <c r="K43" s="521"/>
      <c r="L43" s="521"/>
    </row>
    <row r="44" spans="2:12">
      <c r="B44" s="482" t="s">
        <v>12</v>
      </c>
      <c r="C44" s="483" t="s">
        <v>332</v>
      </c>
      <c r="D44" s="483"/>
      <c r="E44" s="484"/>
      <c r="F44" s="485"/>
      <c r="G44" s="485"/>
      <c r="H44" s="485"/>
      <c r="I44" s="485"/>
      <c r="K44" s="521"/>
      <c r="L44" s="521"/>
    </row>
    <row r="45" spans="2:12">
      <c r="B45" s="487"/>
      <c r="C45" s="488" t="s">
        <v>534</v>
      </c>
      <c r="D45" s="488"/>
      <c r="E45" s="489">
        <v>1</v>
      </c>
      <c r="F45" s="490" t="s">
        <v>21</v>
      </c>
      <c r="G45" s="490" t="s">
        <v>16</v>
      </c>
      <c r="H45" s="491">
        <v>8500000</v>
      </c>
      <c r="I45" s="491">
        <f t="shared" ref="I45:I57" si="0">H45*E45</f>
        <v>8500000</v>
      </c>
      <c r="J45" s="521"/>
      <c r="K45" s="521"/>
      <c r="L45" s="521"/>
    </row>
    <row r="46" spans="2:12">
      <c r="B46" s="487"/>
      <c r="C46" s="488" t="s">
        <v>535</v>
      </c>
      <c r="D46" s="488"/>
      <c r="E46" s="489">
        <v>2</v>
      </c>
      <c r="F46" s="490" t="s">
        <v>15</v>
      </c>
      <c r="G46" s="490" t="s">
        <v>51</v>
      </c>
      <c r="H46" s="491">
        <v>750000</v>
      </c>
      <c r="I46" s="491">
        <f t="shared" si="0"/>
        <v>1500000</v>
      </c>
      <c r="J46" s="521"/>
      <c r="K46" s="521"/>
      <c r="L46" s="521"/>
    </row>
    <row r="47" spans="2:12">
      <c r="B47" s="487"/>
      <c r="C47" s="488" t="s">
        <v>536</v>
      </c>
      <c r="D47" s="488"/>
      <c r="E47" s="489">
        <v>20</v>
      </c>
      <c r="F47" s="490" t="s">
        <v>15</v>
      </c>
      <c r="G47" s="490" t="s">
        <v>82</v>
      </c>
      <c r="H47" s="491">
        <v>14640</v>
      </c>
      <c r="I47" s="491">
        <f t="shared" si="0"/>
        <v>292800</v>
      </c>
      <c r="J47" s="521"/>
      <c r="K47" s="521"/>
      <c r="L47" s="521"/>
    </row>
    <row r="48" spans="2:12">
      <c r="B48" s="487"/>
      <c r="C48" s="488" t="s">
        <v>537</v>
      </c>
      <c r="D48" s="488"/>
      <c r="E48" s="489">
        <v>40</v>
      </c>
      <c r="F48" s="490" t="s">
        <v>15</v>
      </c>
      <c r="G48" s="490" t="s">
        <v>51</v>
      </c>
      <c r="H48" s="491">
        <v>3000</v>
      </c>
      <c r="I48" s="491">
        <f t="shared" si="0"/>
        <v>120000</v>
      </c>
      <c r="J48" s="521"/>
      <c r="L48" s="521"/>
    </row>
    <row r="49" spans="2:11">
      <c r="B49" s="487"/>
      <c r="C49" s="488" t="s">
        <v>538</v>
      </c>
      <c r="D49" s="488"/>
      <c r="E49" s="489">
        <v>1</v>
      </c>
      <c r="F49" s="490" t="s">
        <v>539</v>
      </c>
      <c r="G49" s="490" t="s">
        <v>82</v>
      </c>
      <c r="H49" s="491">
        <v>132000</v>
      </c>
      <c r="I49" s="491">
        <f t="shared" si="0"/>
        <v>132000</v>
      </c>
    </row>
    <row r="50" spans="2:11">
      <c r="B50" s="487"/>
      <c r="C50" s="488" t="s">
        <v>540</v>
      </c>
      <c r="D50" s="488"/>
      <c r="E50" s="489">
        <v>1</v>
      </c>
      <c r="F50" s="490" t="s">
        <v>15</v>
      </c>
      <c r="G50" s="490" t="s">
        <v>82</v>
      </c>
      <c r="H50" s="491">
        <v>1145340</v>
      </c>
      <c r="I50" s="491">
        <f t="shared" si="0"/>
        <v>1145340</v>
      </c>
    </row>
    <row r="51" spans="2:11">
      <c r="B51" s="487"/>
      <c r="C51" s="488" t="s">
        <v>541</v>
      </c>
      <c r="D51" s="488"/>
      <c r="E51" s="489">
        <v>1</v>
      </c>
      <c r="F51" s="490" t="s">
        <v>15</v>
      </c>
      <c r="G51" s="490" t="s">
        <v>82</v>
      </c>
      <c r="H51" s="491">
        <v>1145340</v>
      </c>
      <c r="I51" s="491">
        <f t="shared" si="0"/>
        <v>1145340</v>
      </c>
    </row>
    <row r="52" spans="2:11">
      <c r="B52" s="487"/>
      <c r="C52" s="488" t="s">
        <v>542</v>
      </c>
      <c r="D52" s="488"/>
      <c r="E52" s="489">
        <v>1</v>
      </c>
      <c r="F52" s="490" t="s">
        <v>15</v>
      </c>
      <c r="G52" s="490" t="s">
        <v>82</v>
      </c>
      <c r="H52" s="491">
        <v>1145340</v>
      </c>
      <c r="I52" s="491">
        <f t="shared" si="0"/>
        <v>1145340</v>
      </c>
    </row>
    <row r="53" spans="2:11">
      <c r="B53" s="487"/>
      <c r="C53" s="488" t="s">
        <v>543</v>
      </c>
      <c r="D53" s="488"/>
      <c r="E53" s="489">
        <v>1</v>
      </c>
      <c r="F53" s="490" t="s">
        <v>15</v>
      </c>
      <c r="G53" s="490" t="s">
        <v>82</v>
      </c>
      <c r="H53" s="491">
        <v>1145340</v>
      </c>
      <c r="I53" s="491">
        <f t="shared" si="0"/>
        <v>1145340</v>
      </c>
    </row>
    <row r="54" spans="2:11">
      <c r="B54" s="487"/>
      <c r="C54" s="488" t="s">
        <v>544</v>
      </c>
      <c r="D54" s="488"/>
      <c r="E54" s="489">
        <v>1</v>
      </c>
      <c r="F54" s="490" t="s">
        <v>545</v>
      </c>
      <c r="G54" s="490" t="s">
        <v>16</v>
      </c>
      <c r="H54" s="491">
        <v>492000</v>
      </c>
      <c r="I54" s="491">
        <f t="shared" si="0"/>
        <v>492000</v>
      </c>
      <c r="K54" s="521"/>
    </row>
    <row r="55" spans="2:11">
      <c r="B55" s="487"/>
      <c r="C55" s="488" t="s">
        <v>546</v>
      </c>
      <c r="D55" s="488"/>
      <c r="E55" s="489">
        <v>2</v>
      </c>
      <c r="F55" s="490" t="s">
        <v>126</v>
      </c>
      <c r="G55" s="490" t="s">
        <v>51</v>
      </c>
      <c r="H55" s="491">
        <v>150000</v>
      </c>
      <c r="I55" s="491">
        <f t="shared" si="0"/>
        <v>300000</v>
      </c>
      <c r="K55" s="521"/>
    </row>
    <row r="56" spans="2:11">
      <c r="B56" s="487"/>
      <c r="C56" s="488" t="s">
        <v>547</v>
      </c>
      <c r="D56" s="488"/>
      <c r="E56" s="489">
        <v>1</v>
      </c>
      <c r="F56" s="490" t="s">
        <v>138</v>
      </c>
      <c r="G56" s="490" t="s">
        <v>51</v>
      </c>
      <c r="H56" s="491">
        <v>550000</v>
      </c>
      <c r="I56" s="491">
        <f t="shared" si="0"/>
        <v>550000</v>
      </c>
      <c r="K56" s="521"/>
    </row>
    <row r="57" spans="2:11">
      <c r="B57" s="487"/>
      <c r="C57" s="488" t="s">
        <v>548</v>
      </c>
      <c r="D57" s="488"/>
      <c r="E57" s="489">
        <v>1</v>
      </c>
      <c r="F57" s="490" t="s">
        <v>126</v>
      </c>
      <c r="G57" s="490" t="s">
        <v>51</v>
      </c>
      <c r="H57" s="491">
        <v>200000</v>
      </c>
      <c r="I57" s="491">
        <f t="shared" si="0"/>
        <v>200000</v>
      </c>
      <c r="K57" s="521"/>
    </row>
    <row r="58" spans="2:11">
      <c r="B58" s="487"/>
      <c r="C58" s="493"/>
      <c r="D58" s="493"/>
      <c r="E58" s="489"/>
      <c r="F58" s="490"/>
      <c r="G58" s="490"/>
      <c r="H58" s="491"/>
      <c r="I58" s="491"/>
      <c r="K58" s="521"/>
    </row>
    <row r="59" spans="2:11">
      <c r="B59" s="487"/>
      <c r="C59" s="493"/>
      <c r="D59" s="493"/>
      <c r="E59" s="489"/>
      <c r="F59" s="490"/>
      <c r="G59" s="490"/>
      <c r="H59" s="491"/>
      <c r="I59" s="491"/>
      <c r="K59" s="521"/>
    </row>
    <row r="60" spans="2:11">
      <c r="B60" s="487"/>
      <c r="C60" s="493"/>
      <c r="D60" s="493"/>
      <c r="E60" s="495"/>
      <c r="F60" s="496"/>
      <c r="G60" s="496"/>
      <c r="H60" s="497"/>
      <c r="I60" s="497"/>
      <c r="K60" s="521"/>
    </row>
    <row r="61" spans="2:11" ht="15" thickBot="1">
      <c r="B61" s="499"/>
      <c r="C61" s="500"/>
      <c r="D61" s="500"/>
      <c r="E61" s="501"/>
      <c r="F61" s="502"/>
      <c r="G61" s="502"/>
      <c r="H61" s="503"/>
      <c r="I61" s="503"/>
      <c r="K61" s="521"/>
    </row>
    <row r="62" spans="2:11" ht="15" thickTop="1">
      <c r="B62" s="505" t="s">
        <v>549</v>
      </c>
      <c r="C62" s="506"/>
      <c r="D62" s="506"/>
      <c r="E62" s="506"/>
      <c r="F62" s="506"/>
      <c r="G62" s="506"/>
      <c r="H62" s="507"/>
      <c r="I62" s="508" t="s">
        <v>459</v>
      </c>
      <c r="K62" s="521"/>
    </row>
    <row r="63" spans="2:11" ht="15" thickBot="1">
      <c r="B63" s="510"/>
      <c r="C63" s="511" t="s">
        <v>550</v>
      </c>
      <c r="D63" s="511"/>
      <c r="E63" s="512"/>
      <c r="F63" s="512"/>
      <c r="G63" s="512"/>
      <c r="H63" s="513"/>
      <c r="I63" s="514" t="s">
        <v>30</v>
      </c>
      <c r="K63" s="521"/>
    </row>
    <row r="64" spans="2:11" ht="15" thickTop="1">
      <c r="B64" s="3"/>
      <c r="C64" s="3"/>
      <c r="D64" s="3"/>
      <c r="E64" s="516"/>
      <c r="F64" s="369"/>
      <c r="G64" s="369"/>
      <c r="H64" s="517"/>
      <c r="I64" s="517"/>
      <c r="K64" s="521"/>
    </row>
    <row r="65" spans="2:11">
      <c r="B65" s="3"/>
      <c r="C65" s="3"/>
      <c r="D65" s="3"/>
      <c r="E65" s="516"/>
      <c r="F65" s="369"/>
      <c r="G65" s="369"/>
      <c r="H65" s="517"/>
      <c r="I65" s="517"/>
    </row>
    <row r="66" spans="2:11">
      <c r="B66" s="3"/>
      <c r="C66" s="3"/>
      <c r="D66" s="3"/>
      <c r="E66" s="516"/>
      <c r="F66" s="369"/>
      <c r="G66" s="369"/>
      <c r="H66" s="517"/>
      <c r="I66" s="517"/>
      <c r="K66" s="521"/>
    </row>
    <row r="67" spans="2:11">
      <c r="B67" s="1658" t="s">
        <v>528</v>
      </c>
      <c r="C67" s="1658"/>
      <c r="D67" s="1658"/>
      <c r="E67" s="1658"/>
      <c r="F67" s="1658"/>
      <c r="G67" s="1658"/>
      <c r="H67" s="1658"/>
      <c r="I67" s="1658"/>
    </row>
    <row r="68" spans="2:11">
      <c r="B68" s="1659" t="s">
        <v>331</v>
      </c>
      <c r="C68" s="1659"/>
      <c r="D68" s="1659"/>
      <c r="E68" s="1659"/>
      <c r="F68" s="1659"/>
      <c r="G68" s="1659"/>
      <c r="H68" s="1659"/>
      <c r="I68" s="1659"/>
    </row>
    <row r="69" spans="2:11">
      <c r="B69" s="1659" t="s">
        <v>529</v>
      </c>
      <c r="C69" s="1659"/>
      <c r="D69" s="1659"/>
      <c r="E69" s="1659"/>
      <c r="F69" s="1659"/>
      <c r="G69" s="1659"/>
      <c r="H69" s="1659"/>
      <c r="I69" s="1659"/>
    </row>
    <row r="71" spans="2:11">
      <c r="B71" s="520">
        <v>1</v>
      </c>
      <c r="C71" t="s">
        <v>551</v>
      </c>
    </row>
    <row r="72" spans="2:11">
      <c r="B72" s="520"/>
      <c r="C72" t="s">
        <v>552</v>
      </c>
    </row>
    <row r="73" spans="2:11">
      <c r="B73" s="520"/>
      <c r="C73" t="s">
        <v>553</v>
      </c>
    </row>
    <row r="74" spans="2:11">
      <c r="B74" s="520"/>
      <c r="C74" t="s">
        <v>554</v>
      </c>
      <c r="D74" s="520" t="s">
        <v>555</v>
      </c>
      <c r="E74" t="s">
        <v>556</v>
      </c>
    </row>
    <row r="75" spans="2:11">
      <c r="B75" s="520"/>
      <c r="C75" t="s">
        <v>557</v>
      </c>
      <c r="D75" s="520" t="s">
        <v>555</v>
      </c>
      <c r="E75" t="s">
        <v>558</v>
      </c>
    </row>
    <row r="76" spans="2:11">
      <c r="B76" s="520"/>
      <c r="D76" s="520"/>
    </row>
    <row r="77" spans="2:11">
      <c r="B77" s="520"/>
      <c r="C77" t="s">
        <v>559</v>
      </c>
      <c r="D77" s="520" t="s">
        <v>555</v>
      </c>
      <c r="E77" t="s">
        <v>560</v>
      </c>
    </row>
    <row r="78" spans="2:11">
      <c r="B78" s="520"/>
      <c r="C78" t="s">
        <v>561</v>
      </c>
      <c r="D78" s="520" t="s">
        <v>555</v>
      </c>
      <c r="E78" t="s">
        <v>562</v>
      </c>
    </row>
    <row r="79" spans="2:11">
      <c r="B79" s="520"/>
      <c r="D79" s="520"/>
    </row>
    <row r="80" spans="2:11">
      <c r="B80" s="520"/>
      <c r="C80" t="s">
        <v>563</v>
      </c>
      <c r="D80" s="520" t="s">
        <v>555</v>
      </c>
      <c r="E80" t="s">
        <v>564</v>
      </c>
    </row>
    <row r="81" spans="2:11">
      <c r="B81" s="520"/>
      <c r="C81" t="s">
        <v>565</v>
      </c>
      <c r="D81" s="520" t="s">
        <v>555</v>
      </c>
      <c r="E81" s="1661">
        <v>184527.11</v>
      </c>
      <c r="F81" s="1661"/>
      <c r="G81" s="1661"/>
    </row>
    <row r="82" spans="2:11">
      <c r="B82" s="520"/>
      <c r="D82" s="520"/>
    </row>
    <row r="83" spans="2:11">
      <c r="B83" s="520"/>
      <c r="C83" t="s">
        <v>566</v>
      </c>
      <c r="D83" s="520" t="s">
        <v>555</v>
      </c>
      <c r="E83" t="s">
        <v>567</v>
      </c>
    </row>
    <row r="84" spans="2:11" ht="15" thickBot="1">
      <c r="B84" s="520"/>
      <c r="C84" t="s">
        <v>568</v>
      </c>
      <c r="D84" s="520" t="s">
        <v>555</v>
      </c>
      <c r="E84" s="1662">
        <v>711509.54</v>
      </c>
      <c r="F84" s="1662"/>
      <c r="G84" s="1662"/>
      <c r="H84" s="1662"/>
    </row>
    <row r="85" spans="2:11">
      <c r="B85" s="520"/>
      <c r="C85" s="522" t="s">
        <v>569</v>
      </c>
      <c r="D85" s="520" t="s">
        <v>555</v>
      </c>
      <c r="E85" s="1663">
        <v>6964232.6500000004</v>
      </c>
      <c r="F85" s="1663"/>
      <c r="G85" s="1663"/>
      <c r="H85" s="1663"/>
    </row>
    <row r="86" spans="2:11">
      <c r="B86" s="520"/>
    </row>
    <row r="87" spans="2:11">
      <c r="B87" s="520">
        <v>2</v>
      </c>
      <c r="C87" t="s">
        <v>570</v>
      </c>
      <c r="D87" s="520" t="s">
        <v>555</v>
      </c>
      <c r="E87" t="s">
        <v>571</v>
      </c>
    </row>
    <row r="88" spans="2:11">
      <c r="B88" s="520"/>
      <c r="C88" t="s">
        <v>568</v>
      </c>
      <c r="D88" s="520" t="s">
        <v>555</v>
      </c>
      <c r="E88" t="s">
        <v>572</v>
      </c>
    </row>
    <row r="89" spans="2:11">
      <c r="B89" s="520"/>
    </row>
    <row r="90" spans="2:11">
      <c r="B90" s="520">
        <v>3</v>
      </c>
      <c r="C90" t="s">
        <v>573</v>
      </c>
      <c r="D90" s="520" t="s">
        <v>555</v>
      </c>
      <c r="E90" t="s">
        <v>574</v>
      </c>
    </row>
    <row r="91" spans="2:11">
      <c r="B91" s="520"/>
      <c r="C91" t="s">
        <v>568</v>
      </c>
      <c r="D91" s="520" t="s">
        <v>555</v>
      </c>
      <c r="E91" t="s">
        <v>575</v>
      </c>
    </row>
    <row r="92" spans="2:11">
      <c r="B92" s="520"/>
      <c r="K92" s="521">
        <v>357500</v>
      </c>
    </row>
    <row r="93" spans="2:11">
      <c r="B93" s="520">
        <v>4</v>
      </c>
      <c r="C93" t="s">
        <v>576</v>
      </c>
      <c r="D93" s="520" t="s">
        <v>555</v>
      </c>
      <c r="E93" t="s">
        <v>577</v>
      </c>
      <c r="K93" s="521">
        <v>248400</v>
      </c>
    </row>
    <row r="94" spans="2:11">
      <c r="B94" s="520"/>
      <c r="C94" t="s">
        <v>578</v>
      </c>
      <c r="D94" s="520" t="s">
        <v>555</v>
      </c>
      <c r="E94" t="s">
        <v>579</v>
      </c>
      <c r="K94" s="521">
        <v>58891.631999999998</v>
      </c>
    </row>
    <row r="95" spans="2:11">
      <c r="B95" s="520"/>
      <c r="K95" s="521">
        <v>39261.088000000003</v>
      </c>
    </row>
    <row r="96" spans="2:11">
      <c r="B96" s="520">
        <v>5</v>
      </c>
      <c r="C96" t="s">
        <v>580</v>
      </c>
      <c r="D96" s="520" t="s">
        <v>555</v>
      </c>
      <c r="E96" t="s">
        <v>581</v>
      </c>
      <c r="K96" s="521">
        <v>62.411999999999999</v>
      </c>
    </row>
    <row r="97" spans="2:11">
      <c r="B97" s="520"/>
      <c r="C97" t="s">
        <v>578</v>
      </c>
      <c r="D97" s="520" t="s">
        <v>555</v>
      </c>
      <c r="E97" t="s">
        <v>582</v>
      </c>
      <c r="K97" s="521">
        <v>166523.5</v>
      </c>
    </row>
    <row r="98" spans="2:11">
      <c r="B98" s="520"/>
      <c r="K98" s="521">
        <v>30581.279999999999</v>
      </c>
    </row>
    <row r="99" spans="2:11">
      <c r="B99" s="520">
        <v>6</v>
      </c>
      <c r="C99" t="s">
        <v>583</v>
      </c>
      <c r="D99" s="520" t="s">
        <v>555</v>
      </c>
      <c r="E99" t="s">
        <v>584</v>
      </c>
      <c r="K99" s="521">
        <v>8508.24</v>
      </c>
    </row>
    <row r="100" spans="2:11">
      <c r="B100" s="520"/>
      <c r="C100" t="s">
        <v>578</v>
      </c>
      <c r="D100" s="520" t="s">
        <v>555</v>
      </c>
      <c r="E100" t="s">
        <v>585</v>
      </c>
      <c r="K100" s="521"/>
    </row>
    <row r="101" spans="2:11">
      <c r="B101" s="520"/>
      <c r="K101" s="521">
        <f>SUM(K92:K100)</f>
        <v>909728.152</v>
      </c>
    </row>
    <row r="102" spans="2:11">
      <c r="B102" s="520">
        <v>7</v>
      </c>
      <c r="C102" t="s">
        <v>586</v>
      </c>
      <c r="D102" s="520" t="s">
        <v>555</v>
      </c>
      <c r="E102" t="s">
        <v>584</v>
      </c>
      <c r="K102" s="521"/>
    </row>
    <row r="103" spans="2:11">
      <c r="B103" s="520"/>
      <c r="C103" t="s">
        <v>587</v>
      </c>
      <c r="D103" s="520" t="s">
        <v>555</v>
      </c>
      <c r="E103" t="s">
        <v>585</v>
      </c>
      <c r="K103" s="521"/>
    </row>
    <row r="104" spans="2:11">
      <c r="B104" s="520"/>
      <c r="K104" s="521"/>
    </row>
    <row r="105" spans="2:11">
      <c r="B105" s="520">
        <v>8</v>
      </c>
      <c r="C105" t="s">
        <v>588</v>
      </c>
      <c r="D105" s="520" t="s">
        <v>555</v>
      </c>
      <c r="E105" t="s">
        <v>589</v>
      </c>
    </row>
    <row r="106" spans="2:11">
      <c r="B106" s="520"/>
      <c r="C106" t="s">
        <v>587</v>
      </c>
      <c r="D106" s="520" t="s">
        <v>555</v>
      </c>
      <c r="E106" t="s">
        <v>590</v>
      </c>
    </row>
    <row r="107" spans="2:11">
      <c r="B107" s="520"/>
    </row>
    <row r="108" spans="2:11">
      <c r="B108" s="520">
        <v>9</v>
      </c>
      <c r="C108" t="s">
        <v>591</v>
      </c>
      <c r="D108" s="520" t="s">
        <v>555</v>
      </c>
      <c r="E108" t="s">
        <v>592</v>
      </c>
    </row>
    <row r="109" spans="2:11">
      <c r="C109" t="s">
        <v>593</v>
      </c>
      <c r="D109" s="520" t="s">
        <v>555</v>
      </c>
      <c r="E109" t="s">
        <v>590</v>
      </c>
    </row>
    <row r="111" spans="2:11">
      <c r="B111" s="520">
        <v>10</v>
      </c>
      <c r="C111" t="s">
        <v>594</v>
      </c>
      <c r="D111" s="520" t="s">
        <v>555</v>
      </c>
      <c r="E111" t="s">
        <v>595</v>
      </c>
    </row>
    <row r="112" spans="2:11">
      <c r="C112" t="s">
        <v>587</v>
      </c>
      <c r="D112" s="520" t="s">
        <v>555</v>
      </c>
      <c r="E112" t="s">
        <v>596</v>
      </c>
      <c r="K112" s="526">
        <v>454000</v>
      </c>
    </row>
    <row r="113" spans="2:11" ht="15" thickBot="1">
      <c r="D113" s="523"/>
      <c r="E113" s="523"/>
      <c r="F113" s="523"/>
      <c r="G113" s="523"/>
      <c r="H113" s="523"/>
      <c r="K113" s="526">
        <v>268110</v>
      </c>
    </row>
    <row r="114" spans="2:11">
      <c r="C114" s="522" t="s">
        <v>597</v>
      </c>
      <c r="D114" s="520" t="s">
        <v>555</v>
      </c>
      <c r="E114" s="1660">
        <v>11157802.65</v>
      </c>
      <c r="F114" s="1660"/>
      <c r="G114" s="1660"/>
      <c r="H114" s="1660"/>
      <c r="K114" s="526">
        <v>58891.631999999998</v>
      </c>
    </row>
    <row r="115" spans="2:11">
      <c r="C115" s="522" t="s">
        <v>598</v>
      </c>
      <c r="D115" s="520" t="s">
        <v>555</v>
      </c>
      <c r="E115" s="1660">
        <v>11157800</v>
      </c>
      <c r="F115" s="1660"/>
      <c r="G115" s="1660"/>
      <c r="H115" s="1660"/>
      <c r="K115" s="526">
        <v>39261.088000000003</v>
      </c>
    </row>
    <row r="116" spans="2:11">
      <c r="K116" s="526">
        <v>189231.26</v>
      </c>
    </row>
    <row r="117" spans="2:11">
      <c r="K117" s="526">
        <v>30581.279999999999</v>
      </c>
    </row>
    <row r="118" spans="2:11">
      <c r="K118" s="526">
        <v>8508.24</v>
      </c>
    </row>
    <row r="119" spans="2:11">
      <c r="K119" s="527"/>
    </row>
    <row r="120" spans="2:11">
      <c r="K120" s="527">
        <f>SUM(K112:K119)</f>
        <v>1048583.5</v>
      </c>
    </row>
    <row r="121" spans="2:11">
      <c r="B121" s="1658" t="s">
        <v>528</v>
      </c>
      <c r="C121" s="1658"/>
      <c r="D121" s="1658"/>
      <c r="E121" s="1658"/>
      <c r="F121" s="1658"/>
      <c r="G121" s="1658"/>
      <c r="H121" s="1658"/>
      <c r="I121" s="1658"/>
      <c r="K121" s="527"/>
    </row>
    <row r="122" spans="2:11">
      <c r="B122" s="1659" t="s">
        <v>599</v>
      </c>
      <c r="C122" s="1659"/>
      <c r="D122" s="1659"/>
      <c r="E122" s="1659"/>
      <c r="F122" s="1659"/>
      <c r="G122" s="1659"/>
      <c r="H122" s="1659"/>
      <c r="I122" s="1659"/>
      <c r="K122" s="527"/>
    </row>
    <row r="123" spans="2:11">
      <c r="B123" s="1659" t="s">
        <v>600</v>
      </c>
      <c r="C123" s="1659"/>
      <c r="D123" s="1659"/>
      <c r="E123" s="1659"/>
      <c r="F123" s="1659"/>
      <c r="G123" s="1659"/>
      <c r="H123" s="1659"/>
      <c r="I123" s="1659"/>
    </row>
    <row r="125" spans="2:11">
      <c r="B125" s="476">
        <v>1</v>
      </c>
      <c r="C125" s="524" t="s">
        <v>601</v>
      </c>
    </row>
    <row r="126" spans="2:11">
      <c r="C126" t="s">
        <v>602</v>
      </c>
    </row>
    <row r="127" spans="2:11">
      <c r="C127" s="584" t="s">
        <v>603</v>
      </c>
      <c r="D127" t="s">
        <v>555</v>
      </c>
      <c r="E127" t="s">
        <v>604</v>
      </c>
    </row>
    <row r="128" spans="2:11">
      <c r="C128" s="584" t="s">
        <v>605</v>
      </c>
      <c r="D128" t="s">
        <v>555</v>
      </c>
      <c r="E128" t="s">
        <v>606</v>
      </c>
    </row>
    <row r="129" spans="2:8">
      <c r="C129" s="584" t="s">
        <v>607</v>
      </c>
      <c r="D129" t="s">
        <v>555</v>
      </c>
      <c r="E129" t="s">
        <v>608</v>
      </c>
    </row>
    <row r="130" spans="2:8">
      <c r="D130" t="s">
        <v>555</v>
      </c>
      <c r="E130" t="s">
        <v>609</v>
      </c>
    </row>
    <row r="131" spans="2:8">
      <c r="C131" s="584" t="s">
        <v>610</v>
      </c>
      <c r="D131" t="s">
        <v>555</v>
      </c>
      <c r="E131" t="s">
        <v>611</v>
      </c>
    </row>
    <row r="132" spans="2:8">
      <c r="C132" t="s">
        <v>612</v>
      </c>
      <c r="D132" t="s">
        <v>555</v>
      </c>
      <c r="E132" t="s">
        <v>613</v>
      </c>
    </row>
    <row r="133" spans="2:8">
      <c r="C133" s="584" t="s">
        <v>614</v>
      </c>
      <c r="D133" t="s">
        <v>555</v>
      </c>
      <c r="E133" t="s">
        <v>615</v>
      </c>
    </row>
    <row r="134" spans="2:8">
      <c r="D134" t="s">
        <v>555</v>
      </c>
      <c r="E134" t="s">
        <v>616</v>
      </c>
    </row>
    <row r="135" spans="2:8">
      <c r="C135" s="584" t="s">
        <v>617</v>
      </c>
      <c r="D135" t="s">
        <v>555</v>
      </c>
      <c r="E135" t="s">
        <v>618</v>
      </c>
    </row>
    <row r="136" spans="2:8">
      <c r="C136" t="s">
        <v>619</v>
      </c>
      <c r="D136" t="s">
        <v>555</v>
      </c>
      <c r="E136" t="s">
        <v>620</v>
      </c>
    </row>
    <row r="137" spans="2:8">
      <c r="C137" s="584" t="s">
        <v>621</v>
      </c>
      <c r="D137" t="s">
        <v>555</v>
      </c>
      <c r="E137" t="s">
        <v>622</v>
      </c>
    </row>
    <row r="138" spans="2:8">
      <c r="D138" t="s">
        <v>555</v>
      </c>
      <c r="E138" t="s">
        <v>623</v>
      </c>
    </row>
    <row r="139" spans="2:8">
      <c r="C139" s="584" t="s">
        <v>624</v>
      </c>
      <c r="D139" t="s">
        <v>555</v>
      </c>
      <c r="E139" t="s">
        <v>625</v>
      </c>
    </row>
    <row r="140" spans="2:8">
      <c r="C140" t="s">
        <v>626</v>
      </c>
      <c r="D140" t="s">
        <v>555</v>
      </c>
      <c r="E140" t="s">
        <v>627</v>
      </c>
    </row>
    <row r="141" spans="2:8" ht="15" thickBot="1">
      <c r="D141" s="523"/>
      <c r="E141" s="523"/>
      <c r="F141" s="523"/>
      <c r="G141" s="523"/>
      <c r="H141" s="523"/>
    </row>
    <row r="142" spans="2:8">
      <c r="C142" s="522" t="s">
        <v>53</v>
      </c>
      <c r="D142" t="s">
        <v>555</v>
      </c>
      <c r="E142" s="525" t="s">
        <v>628</v>
      </c>
    </row>
    <row r="144" spans="2:8">
      <c r="B144" s="476">
        <v>2</v>
      </c>
      <c r="C144" s="524" t="s">
        <v>629</v>
      </c>
    </row>
    <row r="145" spans="3:8">
      <c r="C145" t="s">
        <v>630</v>
      </c>
    </row>
    <row r="146" spans="3:8">
      <c r="C146" s="584" t="s">
        <v>631</v>
      </c>
      <c r="D146" t="s">
        <v>555</v>
      </c>
      <c r="E146" t="s">
        <v>632</v>
      </c>
    </row>
    <row r="147" spans="3:8">
      <c r="C147" s="584" t="s">
        <v>633</v>
      </c>
      <c r="D147" t="s">
        <v>555</v>
      </c>
      <c r="E147" t="s">
        <v>634</v>
      </c>
    </row>
    <row r="148" spans="3:8">
      <c r="C148" s="584" t="s">
        <v>607</v>
      </c>
      <c r="D148" t="s">
        <v>555</v>
      </c>
      <c r="E148" t="s">
        <v>608</v>
      </c>
    </row>
    <row r="149" spans="3:8">
      <c r="D149" t="s">
        <v>555</v>
      </c>
      <c r="E149" t="s">
        <v>609</v>
      </c>
    </row>
    <row r="150" spans="3:8">
      <c r="C150" s="584" t="s">
        <v>610</v>
      </c>
      <c r="D150" t="s">
        <v>555</v>
      </c>
      <c r="E150" t="s">
        <v>635</v>
      </c>
    </row>
    <row r="151" spans="3:8">
      <c r="C151" t="s">
        <v>612</v>
      </c>
      <c r="D151" t="s">
        <v>555</v>
      </c>
      <c r="E151" t="s">
        <v>613</v>
      </c>
    </row>
    <row r="152" spans="3:8">
      <c r="C152" s="584" t="s">
        <v>636</v>
      </c>
      <c r="D152" t="s">
        <v>555</v>
      </c>
      <c r="E152" t="s">
        <v>637</v>
      </c>
    </row>
    <row r="153" spans="3:8">
      <c r="C153" t="s">
        <v>638</v>
      </c>
      <c r="D153" t="s">
        <v>555</v>
      </c>
      <c r="E153" t="s">
        <v>639</v>
      </c>
    </row>
    <row r="154" spans="3:8">
      <c r="C154" s="584" t="s">
        <v>640</v>
      </c>
      <c r="D154" t="s">
        <v>555</v>
      </c>
      <c r="E154" t="s">
        <v>622</v>
      </c>
    </row>
    <row r="155" spans="3:8">
      <c r="D155" t="s">
        <v>555</v>
      </c>
      <c r="E155" t="s">
        <v>623</v>
      </c>
    </row>
    <row r="156" spans="3:8">
      <c r="C156" s="584" t="s">
        <v>641</v>
      </c>
      <c r="D156" t="s">
        <v>555</v>
      </c>
      <c r="E156" t="s">
        <v>625</v>
      </c>
    </row>
    <row r="157" spans="3:8">
      <c r="D157" t="s">
        <v>555</v>
      </c>
      <c r="E157" t="s">
        <v>627</v>
      </c>
    </row>
    <row r="158" spans="3:8" ht="15" thickBot="1">
      <c r="D158" s="523"/>
      <c r="E158" s="523"/>
      <c r="F158" s="523"/>
      <c r="G158" s="523"/>
      <c r="H158" s="523"/>
    </row>
    <row r="159" spans="3:8">
      <c r="C159" s="522" t="s">
        <v>53</v>
      </c>
      <c r="D159" t="s">
        <v>555</v>
      </c>
      <c r="E159" s="525" t="s">
        <v>642</v>
      </c>
    </row>
    <row r="161" spans="2:8">
      <c r="B161" s="476">
        <v>3</v>
      </c>
      <c r="C161" s="528" t="s">
        <v>643</v>
      </c>
      <c r="D161" t="s">
        <v>555</v>
      </c>
      <c r="E161" t="s">
        <v>644</v>
      </c>
    </row>
    <row r="162" spans="2:8">
      <c r="C162" t="s">
        <v>645</v>
      </c>
      <c r="D162" t="s">
        <v>555</v>
      </c>
      <c r="E162" s="524" t="s">
        <v>646</v>
      </c>
    </row>
    <row r="163" spans="2:8">
      <c r="C163" t="s">
        <v>647</v>
      </c>
    </row>
    <row r="165" spans="2:8">
      <c r="B165" s="476">
        <v>4</v>
      </c>
      <c r="C165" t="s">
        <v>648</v>
      </c>
      <c r="D165" t="s">
        <v>555</v>
      </c>
      <c r="E165" t="s">
        <v>649</v>
      </c>
    </row>
    <row r="166" spans="2:8">
      <c r="C166" t="s">
        <v>650</v>
      </c>
    </row>
    <row r="167" spans="2:8">
      <c r="C167" s="584" t="s">
        <v>651</v>
      </c>
      <c r="D167" t="s">
        <v>555</v>
      </c>
      <c r="E167" t="s">
        <v>652</v>
      </c>
    </row>
    <row r="168" spans="2:8">
      <c r="C168" s="584" t="s">
        <v>653</v>
      </c>
      <c r="D168" t="s">
        <v>555</v>
      </c>
      <c r="E168" t="s">
        <v>652</v>
      </c>
    </row>
    <row r="169" spans="2:8" ht="15" thickBot="1">
      <c r="D169" s="523"/>
      <c r="E169" s="523"/>
      <c r="F169" s="523"/>
      <c r="G169" s="523"/>
      <c r="H169" s="523"/>
    </row>
    <row r="170" spans="2:8">
      <c r="C170" s="522" t="s">
        <v>53</v>
      </c>
      <c r="D170" t="s">
        <v>555</v>
      </c>
      <c r="E170" s="525" t="s">
        <v>654</v>
      </c>
    </row>
    <row r="172" spans="2:8">
      <c r="B172" s="476">
        <v>5</v>
      </c>
      <c r="C172" t="s">
        <v>648</v>
      </c>
      <c r="D172" t="s">
        <v>555</v>
      </c>
      <c r="E172" t="s">
        <v>655</v>
      </c>
    </row>
    <row r="173" spans="2:8">
      <c r="C173" t="s">
        <v>656</v>
      </c>
    </row>
    <row r="174" spans="2:8">
      <c r="C174" s="584" t="s">
        <v>651</v>
      </c>
      <c r="D174" t="s">
        <v>555</v>
      </c>
      <c r="E174" t="s">
        <v>652</v>
      </c>
    </row>
    <row r="175" spans="2:8">
      <c r="C175" s="584" t="s">
        <v>653</v>
      </c>
      <c r="D175" t="s">
        <v>555</v>
      </c>
      <c r="E175" t="s">
        <v>652</v>
      </c>
    </row>
    <row r="176" spans="2:8" ht="15" thickBot="1">
      <c r="D176" s="523"/>
      <c r="E176" s="523"/>
      <c r="F176" s="523"/>
      <c r="G176" s="523"/>
      <c r="H176" s="523"/>
    </row>
    <row r="177" spans="2:9">
      <c r="C177" s="522" t="s">
        <v>53</v>
      </c>
      <c r="D177" t="s">
        <v>555</v>
      </c>
      <c r="E177" s="525" t="s">
        <v>657</v>
      </c>
    </row>
    <row r="185" spans="2:9">
      <c r="B185" s="1658" t="s">
        <v>528</v>
      </c>
      <c r="C185" s="1658"/>
      <c r="D185" s="1658"/>
      <c r="E185" s="1658"/>
      <c r="F185" s="1658"/>
      <c r="G185" s="1658"/>
      <c r="H185" s="1658"/>
      <c r="I185" s="1658"/>
    </row>
    <row r="186" spans="2:9">
      <c r="B186" s="1659" t="s">
        <v>658</v>
      </c>
      <c r="C186" s="1659"/>
      <c r="D186" s="1659"/>
      <c r="E186" s="1659"/>
      <c r="F186" s="1659"/>
      <c r="G186" s="1659"/>
      <c r="H186" s="1659"/>
      <c r="I186" s="1659"/>
    </row>
    <row r="187" spans="2:9">
      <c r="B187" s="1659" t="s">
        <v>659</v>
      </c>
      <c r="C187" s="1659"/>
      <c r="D187" s="1659"/>
      <c r="E187" s="1659"/>
      <c r="F187" s="1659"/>
      <c r="G187" s="1659"/>
      <c r="H187" s="1659"/>
      <c r="I187" s="1659"/>
    </row>
    <row r="189" spans="2:9">
      <c r="B189" s="529" t="s">
        <v>660</v>
      </c>
    </row>
    <row r="190" spans="2:9">
      <c r="B190" s="522" t="s">
        <v>126</v>
      </c>
      <c r="C190" t="s">
        <v>661</v>
      </c>
      <c r="D190" t="s">
        <v>555</v>
      </c>
      <c r="E190" t="s">
        <v>662</v>
      </c>
    </row>
    <row r="191" spans="2:9">
      <c r="B191" s="522" t="s">
        <v>126</v>
      </c>
      <c r="C191" t="s">
        <v>663</v>
      </c>
      <c r="D191" t="s">
        <v>555</v>
      </c>
      <c r="E191" t="s">
        <v>664</v>
      </c>
    </row>
    <row r="192" spans="2:9">
      <c r="D192" t="s">
        <v>555</v>
      </c>
      <c r="E192" t="s">
        <v>665</v>
      </c>
    </row>
    <row r="193" spans="2:9">
      <c r="B193" s="522" t="s">
        <v>126</v>
      </c>
      <c r="C193" t="s">
        <v>666</v>
      </c>
      <c r="D193" t="s">
        <v>555</v>
      </c>
      <c r="E193" t="s">
        <v>667</v>
      </c>
    </row>
    <row r="194" spans="2:9">
      <c r="D194" t="s">
        <v>555</v>
      </c>
      <c r="E194" t="s">
        <v>668</v>
      </c>
    </row>
    <row r="195" spans="2:9">
      <c r="B195" s="522" t="s">
        <v>126</v>
      </c>
      <c r="C195" t="s">
        <v>669</v>
      </c>
      <c r="D195" t="s">
        <v>555</v>
      </c>
      <c r="E195" t="s">
        <v>670</v>
      </c>
    </row>
    <row r="196" spans="2:9" ht="15" thickBot="1">
      <c r="D196" s="530" t="s">
        <v>555</v>
      </c>
      <c r="E196" s="530" t="s">
        <v>671</v>
      </c>
      <c r="F196" s="530"/>
      <c r="G196" s="530"/>
      <c r="H196" s="530"/>
    </row>
    <row r="197" spans="2:9">
      <c r="C197" s="522" t="s">
        <v>53</v>
      </c>
      <c r="D197" t="s">
        <v>555</v>
      </c>
      <c r="E197" t="s">
        <v>672</v>
      </c>
    </row>
    <row r="198" spans="2:9">
      <c r="C198" s="522" t="s">
        <v>30</v>
      </c>
      <c r="D198" t="s">
        <v>555</v>
      </c>
      <c r="E198" s="524" t="s">
        <v>673</v>
      </c>
    </row>
    <row r="207" spans="2:9">
      <c r="B207" s="1658" t="s">
        <v>528</v>
      </c>
      <c r="C207" s="1658"/>
      <c r="D207" s="1658"/>
      <c r="E207" s="1658"/>
      <c r="F207" s="1658"/>
      <c r="G207" s="1658"/>
      <c r="H207" s="1658"/>
      <c r="I207" s="1658"/>
    </row>
    <row r="208" spans="2:9">
      <c r="B208" s="1659" t="s">
        <v>674</v>
      </c>
      <c r="C208" s="1659"/>
      <c r="D208" s="1659"/>
      <c r="E208" s="1659"/>
      <c r="F208" s="1659"/>
      <c r="G208" s="1659"/>
      <c r="H208" s="1659"/>
      <c r="I208" s="1659"/>
    </row>
    <row r="209" spans="1:9">
      <c r="B209" s="1659" t="s">
        <v>675</v>
      </c>
      <c r="C209" s="1659"/>
      <c r="D209" s="1659"/>
      <c r="E209" s="1659"/>
      <c r="F209" s="1659"/>
      <c r="G209" s="1659"/>
      <c r="H209" s="1659"/>
      <c r="I209" s="1659"/>
    </row>
    <row r="211" spans="1:9">
      <c r="A211" s="476" t="s">
        <v>265</v>
      </c>
      <c r="B211" s="529" t="s">
        <v>13</v>
      </c>
    </row>
    <row r="212" spans="1:9">
      <c r="B212" s="476">
        <v>1</v>
      </c>
      <c r="C212" s="524" t="s">
        <v>676</v>
      </c>
    </row>
    <row r="213" spans="1:9">
      <c r="B213" s="522"/>
      <c r="C213" t="s">
        <v>677</v>
      </c>
    </row>
    <row r="214" spans="1:9">
      <c r="C214" t="s">
        <v>678</v>
      </c>
    </row>
    <row r="215" spans="1:9">
      <c r="B215" s="522"/>
      <c r="C215" s="584" t="s">
        <v>679</v>
      </c>
      <c r="D215" t="s">
        <v>555</v>
      </c>
      <c r="E215" t="s">
        <v>680</v>
      </c>
    </row>
    <row r="216" spans="1:9">
      <c r="C216" s="584" t="s">
        <v>681</v>
      </c>
      <c r="D216" t="s">
        <v>555</v>
      </c>
      <c r="E216" s="1628">
        <v>300000</v>
      </c>
      <c r="F216" s="1628"/>
    </row>
    <row r="217" spans="1:9">
      <c r="B217" s="522"/>
      <c r="C217" s="584" t="s">
        <v>682</v>
      </c>
      <c r="D217" t="s">
        <v>555</v>
      </c>
      <c r="E217" t="s">
        <v>683</v>
      </c>
    </row>
    <row r="218" spans="1:9">
      <c r="D218" t="s">
        <v>555</v>
      </c>
      <c r="E218" s="1664">
        <v>2100000</v>
      </c>
      <c r="F218" s="1664"/>
      <c r="G218" s="531"/>
      <c r="H218" s="531"/>
    </row>
    <row r="219" spans="1:9" ht="15" thickBot="1">
      <c r="C219" s="585" t="s">
        <v>684</v>
      </c>
      <c r="D219" s="530" t="s">
        <v>555</v>
      </c>
      <c r="E219" s="1665">
        <v>420000</v>
      </c>
      <c r="F219" s="1665"/>
      <c r="G219" s="530"/>
    </row>
    <row r="220" spans="1:9">
      <c r="C220" s="532" t="s">
        <v>685</v>
      </c>
      <c r="D220" t="s">
        <v>555</v>
      </c>
      <c r="E220" s="1631">
        <v>2520000</v>
      </c>
      <c r="F220" s="1631"/>
      <c r="G220" s="1631"/>
    </row>
    <row r="221" spans="1:9">
      <c r="C221" s="532" t="s">
        <v>678</v>
      </c>
    </row>
    <row r="222" spans="1:9">
      <c r="C222" s="532"/>
    </row>
    <row r="223" spans="1:9">
      <c r="B223" s="476">
        <v>2</v>
      </c>
      <c r="C223" s="524" t="s">
        <v>686</v>
      </c>
    </row>
    <row r="224" spans="1:9">
      <c r="C224" t="s">
        <v>687</v>
      </c>
    </row>
    <row r="225" spans="2:7">
      <c r="C225" s="584" t="s">
        <v>688</v>
      </c>
      <c r="D225" t="s">
        <v>555</v>
      </c>
      <c r="E225" s="1628">
        <v>292500</v>
      </c>
      <c r="F225" s="1628"/>
      <c r="G225" s="1628"/>
    </row>
    <row r="226" spans="2:7" ht="15" thickBot="1">
      <c r="C226" s="586" t="s">
        <v>684</v>
      </c>
      <c r="D226" s="530" t="s">
        <v>555</v>
      </c>
      <c r="E226" s="1666">
        <v>73025</v>
      </c>
      <c r="F226" s="1666"/>
      <c r="G226" s="1666"/>
    </row>
    <row r="227" spans="2:7">
      <c r="C227" s="522" t="s">
        <v>689</v>
      </c>
      <c r="D227" t="s">
        <v>555</v>
      </c>
      <c r="E227" s="1631">
        <v>365525</v>
      </c>
      <c r="F227" s="1667"/>
      <c r="G227" s="1667"/>
    </row>
    <row r="229" spans="2:7">
      <c r="B229" s="476">
        <v>3</v>
      </c>
      <c r="C229" s="524" t="s">
        <v>690</v>
      </c>
    </row>
    <row r="230" spans="2:7">
      <c r="C230" t="s">
        <v>691</v>
      </c>
    </row>
    <row r="231" spans="2:7">
      <c r="C231" s="584" t="s">
        <v>692</v>
      </c>
      <c r="D231" t="s">
        <v>555</v>
      </c>
      <c r="E231" s="1636">
        <v>2552000</v>
      </c>
      <c r="F231" s="1636"/>
      <c r="G231" s="1636"/>
    </row>
    <row r="232" spans="2:7" ht="15" thickBot="1">
      <c r="C232" s="586" t="s">
        <v>684</v>
      </c>
      <c r="D232" s="530" t="s">
        <v>555</v>
      </c>
      <c r="E232" s="1668">
        <v>510400</v>
      </c>
      <c r="F232" s="1668"/>
      <c r="G232" s="1668"/>
    </row>
    <row r="233" spans="2:7">
      <c r="C233" s="522" t="s">
        <v>693</v>
      </c>
      <c r="D233" t="s">
        <v>555</v>
      </c>
      <c r="E233" s="1640">
        <v>3062400</v>
      </c>
      <c r="F233" s="1640"/>
      <c r="G233" s="1640"/>
    </row>
    <row r="235" spans="2:7">
      <c r="B235" s="476">
        <v>4</v>
      </c>
      <c r="C235" s="524" t="s">
        <v>694</v>
      </c>
    </row>
    <row r="236" spans="2:7">
      <c r="C236" t="s">
        <v>695</v>
      </c>
    </row>
    <row r="237" spans="2:7">
      <c r="C237" s="584" t="s">
        <v>692</v>
      </c>
      <c r="D237" t="s">
        <v>555</v>
      </c>
      <c r="E237" s="1636">
        <v>1950000</v>
      </c>
      <c r="F237" s="1636"/>
      <c r="G237" s="1636"/>
    </row>
    <row r="238" spans="2:7" ht="15" thickBot="1">
      <c r="C238" s="586" t="s">
        <v>684</v>
      </c>
      <c r="D238" s="530" t="s">
        <v>555</v>
      </c>
      <c r="E238" s="1668">
        <v>390000</v>
      </c>
      <c r="F238" s="1668"/>
      <c r="G238" s="1668"/>
    </row>
    <row r="239" spans="2:7">
      <c r="C239" s="522" t="s">
        <v>693</v>
      </c>
      <c r="D239" t="s">
        <v>555</v>
      </c>
      <c r="E239" s="1640">
        <v>2340000</v>
      </c>
      <c r="F239" s="1640"/>
      <c r="G239" s="1640"/>
    </row>
    <row r="241" spans="1:7">
      <c r="A241" s="476" t="s">
        <v>442</v>
      </c>
      <c r="B241" s="529" t="s">
        <v>19</v>
      </c>
    </row>
    <row r="242" spans="1:7">
      <c r="B242" s="520">
        <v>1</v>
      </c>
      <c r="C242" t="s">
        <v>696</v>
      </c>
    </row>
    <row r="243" spans="1:7">
      <c r="C243" s="584" t="s">
        <v>697</v>
      </c>
    </row>
    <row r="244" spans="1:7">
      <c r="C244" s="584" t="s">
        <v>698</v>
      </c>
      <c r="D244" t="s">
        <v>555</v>
      </c>
      <c r="E244" s="1636">
        <v>26518</v>
      </c>
      <c r="F244" s="1636"/>
      <c r="G244" s="1636"/>
    </row>
    <row r="245" spans="1:7">
      <c r="C245" t="s">
        <v>699</v>
      </c>
    </row>
    <row r="246" spans="1:7">
      <c r="C246" s="584" t="s">
        <v>698</v>
      </c>
      <c r="D246" t="s">
        <v>555</v>
      </c>
      <c r="E246" t="s">
        <v>700</v>
      </c>
    </row>
    <row r="247" spans="1:7">
      <c r="C247" t="s">
        <v>701</v>
      </c>
      <c r="D247" t="s">
        <v>555</v>
      </c>
      <c r="E247" s="1636">
        <v>8839</v>
      </c>
      <c r="F247" s="1636"/>
      <c r="G247" s="1636"/>
    </row>
    <row r="248" spans="1:7">
      <c r="C248" s="584" t="s">
        <v>702</v>
      </c>
      <c r="D248" t="s">
        <v>555</v>
      </c>
      <c r="E248" t="s">
        <v>703</v>
      </c>
    </row>
    <row r="249" spans="1:7">
      <c r="C249" t="s">
        <v>704</v>
      </c>
      <c r="D249" t="s">
        <v>555</v>
      </c>
      <c r="E249" s="1640">
        <v>53034</v>
      </c>
      <c r="F249" s="1640"/>
      <c r="G249" s="1640"/>
    </row>
    <row r="251" spans="1:7">
      <c r="B251" s="520">
        <v>2</v>
      </c>
      <c r="C251" t="s">
        <v>705</v>
      </c>
    </row>
    <row r="252" spans="1:7">
      <c r="C252" s="584" t="s">
        <v>706</v>
      </c>
    </row>
    <row r="253" spans="1:7">
      <c r="C253" s="584" t="s">
        <v>698</v>
      </c>
      <c r="D253" t="s">
        <v>555</v>
      </c>
      <c r="E253" t="s">
        <v>707</v>
      </c>
    </row>
    <row r="254" spans="1:7">
      <c r="C254" t="s">
        <v>708</v>
      </c>
      <c r="D254" t="s">
        <v>555</v>
      </c>
      <c r="E254" s="1640">
        <v>39776</v>
      </c>
      <c r="F254" s="1640"/>
      <c r="G254" s="1640"/>
    </row>
    <row r="256" spans="1:7">
      <c r="B256" s="520">
        <v>3</v>
      </c>
      <c r="C256" t="s">
        <v>709</v>
      </c>
    </row>
    <row r="257" spans="3:8">
      <c r="C257" t="s">
        <v>710</v>
      </c>
    </row>
    <row r="258" spans="3:8">
      <c r="C258" s="584" t="s">
        <v>711</v>
      </c>
      <c r="D258" t="s">
        <v>555</v>
      </c>
      <c r="E258" t="s">
        <v>712</v>
      </c>
    </row>
    <row r="259" spans="3:8">
      <c r="C259" s="584" t="s">
        <v>713</v>
      </c>
      <c r="D259" t="s">
        <v>555</v>
      </c>
      <c r="E259" t="s">
        <v>714</v>
      </c>
    </row>
    <row r="260" spans="3:8">
      <c r="D260" t="s">
        <v>555</v>
      </c>
      <c r="E260" t="s">
        <v>715</v>
      </c>
    </row>
    <row r="261" spans="3:8">
      <c r="D261" t="s">
        <v>555</v>
      </c>
      <c r="E261" s="1636">
        <v>122325</v>
      </c>
      <c r="F261" s="1636"/>
      <c r="G261" s="1636"/>
    </row>
    <row r="262" spans="3:8">
      <c r="C262" s="584" t="s">
        <v>716</v>
      </c>
      <c r="D262" t="s">
        <v>555</v>
      </c>
      <c r="E262" t="s">
        <v>712</v>
      </c>
    </row>
    <row r="263" spans="3:8">
      <c r="C263" s="584" t="s">
        <v>713</v>
      </c>
      <c r="D263" t="s">
        <v>555</v>
      </c>
      <c r="E263" t="s">
        <v>714</v>
      </c>
    </row>
    <row r="264" spans="3:8">
      <c r="C264" s="584" t="s">
        <v>717</v>
      </c>
      <c r="D264" t="s">
        <v>555</v>
      </c>
      <c r="E264" t="s">
        <v>718</v>
      </c>
    </row>
    <row r="265" spans="3:8">
      <c r="D265" t="s">
        <v>555</v>
      </c>
      <c r="E265" s="1636">
        <v>183486</v>
      </c>
      <c r="F265" s="1636"/>
      <c r="G265" s="1636"/>
    </row>
    <row r="266" spans="3:8">
      <c r="C266" s="584" t="s">
        <v>719</v>
      </c>
    </row>
    <row r="267" spans="3:8">
      <c r="C267" t="s">
        <v>720</v>
      </c>
      <c r="D267" t="s">
        <v>555</v>
      </c>
      <c r="E267" s="1628">
        <v>750000</v>
      </c>
      <c r="F267" s="1628"/>
      <c r="G267" s="1628"/>
    </row>
    <row r="268" spans="3:8">
      <c r="C268" t="s">
        <v>721</v>
      </c>
    </row>
    <row r="269" spans="3:8">
      <c r="C269" s="584" t="s">
        <v>722</v>
      </c>
      <c r="D269" t="s">
        <v>555</v>
      </c>
      <c r="E269" s="1636">
        <v>364689</v>
      </c>
      <c r="F269" s="1636"/>
      <c r="G269" s="1636"/>
    </row>
    <row r="270" spans="3:8">
      <c r="C270" t="s">
        <v>723</v>
      </c>
    </row>
    <row r="271" spans="3:8" ht="15" thickBot="1">
      <c r="D271" s="530"/>
      <c r="E271" s="530"/>
      <c r="F271" s="530"/>
      <c r="G271" s="530"/>
      <c r="H271" s="530"/>
    </row>
    <row r="272" spans="3:8">
      <c r="C272" s="522" t="s">
        <v>53</v>
      </c>
      <c r="D272" t="s">
        <v>555</v>
      </c>
      <c r="E272" s="1640">
        <f>E261+E265+E267+E269</f>
        <v>1420500</v>
      </c>
      <c r="F272" s="1640"/>
      <c r="G272" s="1640"/>
    </row>
    <row r="276" spans="1:8" ht="18">
      <c r="A276" s="1625" t="s">
        <v>528</v>
      </c>
      <c r="B276" s="1625"/>
      <c r="C276" s="1625"/>
      <c r="D276" s="1625"/>
      <c r="E276" s="1625"/>
      <c r="F276" s="1625"/>
      <c r="G276" s="1625"/>
      <c r="H276" s="1625"/>
    </row>
    <row r="277" spans="1:8" ht="15.6">
      <c r="A277" s="1626" t="s">
        <v>724</v>
      </c>
      <c r="B277" s="1626"/>
      <c r="C277" s="1626"/>
      <c r="D277" s="1626"/>
      <c r="E277" s="1626"/>
      <c r="F277" s="1626"/>
      <c r="G277" s="1626"/>
      <c r="H277" s="1626"/>
    </row>
    <row r="278" spans="1:8" ht="15.6">
      <c r="A278" s="1626" t="s">
        <v>600</v>
      </c>
      <c r="B278" s="1626"/>
      <c r="C278" s="1626"/>
      <c r="D278" s="1626"/>
      <c r="E278" s="1626"/>
      <c r="F278" s="1626"/>
      <c r="G278" s="1626"/>
      <c r="H278" s="1626"/>
    </row>
    <row r="280" spans="1:8">
      <c r="B280" s="587" t="s">
        <v>725</v>
      </c>
      <c r="C280" t="s">
        <v>726</v>
      </c>
    </row>
    <row r="281" spans="1:8">
      <c r="C281" t="s">
        <v>727</v>
      </c>
    </row>
    <row r="282" spans="1:8">
      <c r="C282" s="584" t="s">
        <v>728</v>
      </c>
      <c r="D282" t="s">
        <v>555</v>
      </c>
      <c r="E282" t="s">
        <v>729</v>
      </c>
    </row>
    <row r="283" spans="1:8">
      <c r="D283" t="s">
        <v>555</v>
      </c>
      <c r="E283" s="1636">
        <v>12502000</v>
      </c>
      <c r="F283" s="1636"/>
      <c r="G283" s="1636"/>
    </row>
    <row r="284" spans="1:8">
      <c r="C284" s="584" t="s">
        <v>730</v>
      </c>
      <c r="D284" t="s">
        <v>555</v>
      </c>
      <c r="E284" t="s">
        <v>731</v>
      </c>
    </row>
    <row r="285" spans="1:8">
      <c r="D285" t="s">
        <v>555</v>
      </c>
      <c r="E285" s="1636">
        <v>9128000</v>
      </c>
      <c r="F285" s="1636"/>
      <c r="G285" s="1636"/>
    </row>
    <row r="286" spans="1:8">
      <c r="C286" s="584" t="s">
        <v>732</v>
      </c>
      <c r="D286" t="s">
        <v>555</v>
      </c>
      <c r="E286" t="s">
        <v>733</v>
      </c>
    </row>
    <row r="287" spans="1:8">
      <c r="D287" t="s">
        <v>555</v>
      </c>
      <c r="E287" s="1636">
        <v>8114800</v>
      </c>
      <c r="F287" s="1636"/>
      <c r="G287" s="1636"/>
    </row>
    <row r="288" spans="1:8">
      <c r="C288" s="584" t="s">
        <v>734</v>
      </c>
      <c r="D288" t="s">
        <v>555</v>
      </c>
      <c r="E288" t="s">
        <v>735</v>
      </c>
    </row>
    <row r="289" spans="3:10">
      <c r="D289" t="s">
        <v>555</v>
      </c>
      <c r="E289" s="1636">
        <v>2947000</v>
      </c>
      <c r="F289" s="1636"/>
      <c r="G289" s="1636"/>
    </row>
    <row r="290" spans="3:10">
      <c r="C290" s="584" t="s">
        <v>736</v>
      </c>
      <c r="D290" t="s">
        <v>555</v>
      </c>
      <c r="E290" t="s">
        <v>737</v>
      </c>
    </row>
    <row r="291" spans="3:10">
      <c r="D291" t="s">
        <v>555</v>
      </c>
      <c r="E291" s="1636">
        <v>1497000</v>
      </c>
      <c r="F291" s="1636"/>
      <c r="G291" s="1636"/>
    </row>
    <row r="292" spans="3:10">
      <c r="C292" s="584" t="s">
        <v>738</v>
      </c>
      <c r="D292" t="s">
        <v>555</v>
      </c>
      <c r="E292" t="s">
        <v>739</v>
      </c>
    </row>
    <row r="293" spans="3:10">
      <c r="D293" t="s">
        <v>555</v>
      </c>
      <c r="E293" s="1636">
        <v>2129400</v>
      </c>
      <c r="F293" s="1636"/>
      <c r="G293" s="1636"/>
    </row>
    <row r="294" spans="3:10">
      <c r="C294" s="584" t="s">
        <v>740</v>
      </c>
      <c r="D294" t="s">
        <v>555</v>
      </c>
      <c r="E294" t="s">
        <v>741</v>
      </c>
      <c r="J294">
        <f>2.4*182201.78</f>
        <v>437284.272</v>
      </c>
    </row>
    <row r="295" spans="3:10">
      <c r="D295" t="s">
        <v>555</v>
      </c>
      <c r="E295" s="1636">
        <v>2800000</v>
      </c>
      <c r="F295" s="1636"/>
      <c r="G295" s="1636"/>
    </row>
    <row r="296" spans="3:10">
      <c r="C296" s="584" t="s">
        <v>742</v>
      </c>
      <c r="D296" t="s">
        <v>555</v>
      </c>
      <c r="E296" t="s">
        <v>743</v>
      </c>
    </row>
    <row r="297" spans="3:10">
      <c r="D297" t="s">
        <v>555</v>
      </c>
      <c r="E297" s="1636">
        <v>6900000</v>
      </c>
      <c r="F297" s="1636"/>
      <c r="G297" s="1636"/>
      <c r="J297">
        <f>0.29*455805.37</f>
        <v>132183.55729999999</v>
      </c>
    </row>
    <row r="298" spans="3:10">
      <c r="C298" s="584" t="s">
        <v>744</v>
      </c>
      <c r="D298" t="s">
        <v>555</v>
      </c>
      <c r="E298" t="s">
        <v>745</v>
      </c>
    </row>
    <row r="299" spans="3:10">
      <c r="D299" t="s">
        <v>555</v>
      </c>
      <c r="E299" s="1636">
        <v>500000</v>
      </c>
      <c r="F299" s="1636"/>
      <c r="G299" s="1636"/>
    </row>
    <row r="300" spans="3:10">
      <c r="C300" s="584" t="s">
        <v>746</v>
      </c>
      <c r="D300" t="s">
        <v>555</v>
      </c>
      <c r="E300" t="s">
        <v>747</v>
      </c>
    </row>
    <row r="301" spans="3:10">
      <c r="D301" t="s">
        <v>555</v>
      </c>
      <c r="E301" s="1636">
        <v>1900000</v>
      </c>
      <c r="F301" s="1636"/>
      <c r="G301" s="1636"/>
    </row>
    <row r="302" spans="3:10">
      <c r="C302" s="584" t="s">
        <v>748</v>
      </c>
      <c r="E302" s="1636"/>
      <c r="F302" s="1636"/>
      <c r="G302" s="1636"/>
    </row>
    <row r="303" spans="3:10">
      <c r="C303" t="s">
        <v>749</v>
      </c>
      <c r="D303" t="s">
        <v>555</v>
      </c>
      <c r="E303" s="1636">
        <v>5000000</v>
      </c>
      <c r="F303" s="1636"/>
      <c r="G303" s="1636"/>
    </row>
    <row r="304" spans="3:10">
      <c r="C304" s="584" t="s">
        <v>750</v>
      </c>
      <c r="E304" s="533"/>
      <c r="F304" s="533"/>
      <c r="G304" s="533"/>
    </row>
    <row r="305" spans="1:9">
      <c r="C305" t="s">
        <v>749</v>
      </c>
      <c r="D305" t="s">
        <v>555</v>
      </c>
      <c r="E305" s="1636">
        <v>4500000</v>
      </c>
      <c r="F305" s="1636"/>
      <c r="G305" s="1636"/>
    </row>
    <row r="306" spans="1:9">
      <c r="C306" s="584" t="s">
        <v>751</v>
      </c>
      <c r="E306" s="533"/>
      <c r="F306" s="533"/>
      <c r="G306" s="533"/>
    </row>
    <row r="307" spans="1:9">
      <c r="C307" t="s">
        <v>752</v>
      </c>
      <c r="D307" t="s">
        <v>555</v>
      </c>
      <c r="E307" s="533" t="s">
        <v>753</v>
      </c>
      <c r="F307" s="533"/>
      <c r="G307" s="533"/>
    </row>
    <row r="308" spans="1:9" ht="15" thickBot="1">
      <c r="D308" s="530" t="s">
        <v>555</v>
      </c>
      <c r="E308" s="1668">
        <v>5500000</v>
      </c>
      <c r="F308" s="1668"/>
      <c r="G308" s="1668"/>
    </row>
    <row r="309" spans="1:9">
      <c r="D309" t="s">
        <v>555</v>
      </c>
      <c r="E309" s="1640">
        <f>E283+E285+E287+E289+E291+E293+E295+E297+E299+E301+E303+E305+E308</f>
        <v>63418200</v>
      </c>
      <c r="F309" s="1640"/>
      <c r="G309" s="1640"/>
    </row>
    <row r="311" spans="1:9">
      <c r="B311" s="587" t="s">
        <v>754</v>
      </c>
      <c r="C311" t="s">
        <v>755</v>
      </c>
      <c r="D311" t="s">
        <v>555</v>
      </c>
      <c r="E311" s="1640">
        <v>3130000</v>
      </c>
      <c r="F311" s="1640"/>
      <c r="G311" s="1640"/>
    </row>
    <row r="312" spans="1:9">
      <c r="C312" t="s">
        <v>756</v>
      </c>
    </row>
    <row r="314" spans="1:9">
      <c r="B314" s="587" t="s">
        <v>757</v>
      </c>
      <c r="C314" t="s">
        <v>758</v>
      </c>
      <c r="D314" t="s">
        <v>555</v>
      </c>
      <c r="E314" s="1640">
        <v>5000000</v>
      </c>
      <c r="F314" s="1640"/>
      <c r="G314" s="1640"/>
    </row>
    <row r="315" spans="1:9">
      <c r="C315" t="s">
        <v>759</v>
      </c>
    </row>
    <row r="316" spans="1:9">
      <c r="C316" t="s">
        <v>760</v>
      </c>
    </row>
    <row r="320" spans="1:9" ht="18">
      <c r="A320" s="1625" t="s">
        <v>528</v>
      </c>
      <c r="B320" s="1625"/>
      <c r="C320" s="1625"/>
      <c r="D320" s="1625"/>
      <c r="E320" s="1625"/>
      <c r="F320" s="1625"/>
      <c r="G320" s="1625"/>
      <c r="H320" s="1625"/>
      <c r="I320" s="1625"/>
    </row>
    <row r="321" spans="1:9" ht="15.6">
      <c r="A321" s="1626" t="s">
        <v>761</v>
      </c>
      <c r="B321" s="1626"/>
      <c r="C321" s="1626"/>
      <c r="D321" s="1626"/>
      <c r="E321" s="1626"/>
      <c r="F321" s="1626"/>
      <c r="G321" s="1626"/>
      <c r="H321" s="1626"/>
      <c r="I321" s="1626"/>
    </row>
    <row r="322" spans="1:9" ht="15.6">
      <c r="A322" s="1626" t="s">
        <v>762</v>
      </c>
      <c r="B322" s="1626"/>
      <c r="C322" s="1626"/>
      <c r="D322" s="1626"/>
      <c r="E322" s="1626"/>
      <c r="F322" s="1626"/>
      <c r="G322" s="1626"/>
      <c r="H322" s="1626"/>
      <c r="I322" s="1626"/>
    </row>
    <row r="324" spans="1:9">
      <c r="B324" s="520" t="s">
        <v>265</v>
      </c>
      <c r="C324" t="s">
        <v>763</v>
      </c>
    </row>
    <row r="325" spans="1:9">
      <c r="C325" t="s">
        <v>764</v>
      </c>
    </row>
    <row r="326" spans="1:9">
      <c r="C326" s="584" t="s">
        <v>765</v>
      </c>
    </row>
    <row r="327" spans="1:9">
      <c r="C327" t="s">
        <v>766</v>
      </c>
      <c r="D327" t="s">
        <v>555</v>
      </c>
      <c r="E327" s="1671">
        <v>500000</v>
      </c>
      <c r="F327" s="1671"/>
      <c r="G327" s="1671"/>
    </row>
    <row r="328" spans="1:9">
      <c r="C328" s="584" t="s">
        <v>767</v>
      </c>
    </row>
    <row r="329" spans="1:9">
      <c r="C329" t="s">
        <v>768</v>
      </c>
      <c r="D329" t="s">
        <v>555</v>
      </c>
      <c r="E329" s="535" t="s">
        <v>769</v>
      </c>
      <c r="F329" s="535"/>
      <c r="G329" s="535"/>
      <c r="H329" s="536"/>
    </row>
    <row r="330" spans="1:9">
      <c r="C330" s="528" t="s">
        <v>770</v>
      </c>
      <c r="D330" t="s">
        <v>555</v>
      </c>
      <c r="E330" s="1669">
        <v>437284.272</v>
      </c>
      <c r="F330" s="1669"/>
      <c r="G330" s="1669"/>
      <c r="H330" s="1669"/>
    </row>
    <row r="331" spans="1:9">
      <c r="C331" t="s">
        <v>771</v>
      </c>
      <c r="E331" s="537"/>
      <c r="F331" s="537"/>
      <c r="G331" s="537"/>
      <c r="H331" s="537"/>
    </row>
    <row r="332" spans="1:9">
      <c r="E332" s="537"/>
      <c r="F332" s="537"/>
      <c r="G332" s="537"/>
      <c r="H332" s="537"/>
    </row>
    <row r="333" spans="1:9">
      <c r="C333" s="584" t="s">
        <v>772</v>
      </c>
      <c r="D333" t="s">
        <v>555</v>
      </c>
      <c r="E333" t="s">
        <v>773</v>
      </c>
    </row>
    <row r="334" spans="1:9">
      <c r="C334" t="s">
        <v>774</v>
      </c>
      <c r="D334" t="s">
        <v>555</v>
      </c>
      <c r="E334" s="1669">
        <v>132183.557</v>
      </c>
      <c r="F334" s="1669"/>
      <c r="G334" s="1669"/>
      <c r="H334" s="1669"/>
    </row>
    <row r="335" spans="1:9">
      <c r="C335" t="s">
        <v>775</v>
      </c>
    </row>
    <row r="336" spans="1:9">
      <c r="C336" s="584" t="s">
        <v>776</v>
      </c>
      <c r="E336" s="1636"/>
      <c r="F336" s="1636"/>
      <c r="G336" s="1636"/>
    </row>
    <row r="337" spans="2:8" ht="15" thickBot="1">
      <c r="D337" s="530"/>
      <c r="E337" s="534"/>
      <c r="F337" s="534"/>
      <c r="G337" s="534"/>
      <c r="H337" s="530"/>
    </row>
    <row r="338" spans="2:8">
      <c r="C338" t="s">
        <v>777</v>
      </c>
      <c r="D338" t="s">
        <v>555</v>
      </c>
      <c r="E338" s="1670">
        <f>E327+E330+E334</f>
        <v>1069467.8289999999</v>
      </c>
      <c r="F338" s="1670"/>
      <c r="G338" s="1670"/>
      <c r="H338" s="1670"/>
    </row>
    <row r="339" spans="2:8">
      <c r="C339" t="s">
        <v>778</v>
      </c>
      <c r="D339" t="s">
        <v>555</v>
      </c>
      <c r="E339" s="1670">
        <f>ROUND(E338,-2)</f>
        <v>1069500</v>
      </c>
      <c r="F339" s="1670"/>
      <c r="G339" s="1670"/>
      <c r="H339" s="1670"/>
    </row>
    <row r="340" spans="2:8">
      <c r="E340" s="1636"/>
      <c r="F340" s="1636"/>
      <c r="G340" s="1636"/>
    </row>
    <row r="341" spans="2:8">
      <c r="B341" s="520" t="s">
        <v>442</v>
      </c>
      <c r="C341" t="s">
        <v>779</v>
      </c>
      <c r="E341" s="1636"/>
      <c r="F341" s="1636"/>
      <c r="G341" s="1636"/>
    </row>
    <row r="342" spans="2:8">
      <c r="C342" t="s">
        <v>780</v>
      </c>
      <c r="E342" s="1636"/>
      <c r="F342" s="1636"/>
      <c r="G342" s="1636"/>
    </row>
    <row r="343" spans="2:8">
      <c r="C343" s="584" t="s">
        <v>781</v>
      </c>
      <c r="D343" t="s">
        <v>555</v>
      </c>
      <c r="E343" s="533" t="s">
        <v>782</v>
      </c>
      <c r="F343" s="533"/>
      <c r="G343" s="533"/>
    </row>
    <row r="344" spans="2:8">
      <c r="C344" t="s">
        <v>783</v>
      </c>
      <c r="D344" t="s">
        <v>555</v>
      </c>
      <c r="E344" s="533" t="s">
        <v>784</v>
      </c>
      <c r="F344" s="533"/>
      <c r="G344" s="533"/>
    </row>
    <row r="345" spans="2:8">
      <c r="D345" t="s">
        <v>555</v>
      </c>
      <c r="E345" s="1670">
        <v>1087344</v>
      </c>
      <c r="F345" s="1670"/>
      <c r="G345" s="1670"/>
    </row>
    <row r="346" spans="2:8">
      <c r="C346" s="584" t="s">
        <v>785</v>
      </c>
      <c r="D346" t="s">
        <v>555</v>
      </c>
      <c r="E346" s="533" t="s">
        <v>786</v>
      </c>
      <c r="F346" s="533"/>
      <c r="G346" s="533"/>
    </row>
    <row r="347" spans="2:8">
      <c r="C347" t="s">
        <v>787</v>
      </c>
      <c r="D347" t="s">
        <v>555</v>
      </c>
      <c r="E347" s="533" t="s">
        <v>788</v>
      </c>
      <c r="F347" s="533"/>
      <c r="G347" s="533"/>
    </row>
    <row r="348" spans="2:8">
      <c r="D348" t="s">
        <v>555</v>
      </c>
      <c r="E348" s="1670">
        <v>180000</v>
      </c>
      <c r="F348" s="1670"/>
      <c r="G348" s="1670"/>
    </row>
    <row r="349" spans="2:8">
      <c r="C349" s="584" t="s">
        <v>789</v>
      </c>
      <c r="D349" t="s">
        <v>555</v>
      </c>
      <c r="E349" s="533" t="s">
        <v>790</v>
      </c>
    </row>
    <row r="350" spans="2:8">
      <c r="B350" s="520"/>
      <c r="D350" t="s">
        <v>555</v>
      </c>
      <c r="E350" s="1672">
        <v>9815.2000000000007</v>
      </c>
      <c r="F350" s="1672"/>
      <c r="G350" s="1672"/>
    </row>
    <row r="351" spans="2:8">
      <c r="C351" s="584" t="s">
        <v>791</v>
      </c>
      <c r="D351" t="s">
        <v>555</v>
      </c>
      <c r="E351" s="533" t="s">
        <v>792</v>
      </c>
    </row>
    <row r="352" spans="2:8">
      <c r="C352" t="s">
        <v>793</v>
      </c>
      <c r="D352" t="s">
        <v>555</v>
      </c>
      <c r="E352" s="1672">
        <v>119283.2</v>
      </c>
      <c r="F352" s="1672"/>
      <c r="G352" s="1672"/>
    </row>
    <row r="353" spans="1:9" ht="15" thickBot="1">
      <c r="B353" s="520"/>
      <c r="D353" s="530"/>
      <c r="E353" s="1673"/>
      <c r="F353" s="1673"/>
      <c r="G353" s="1673"/>
      <c r="H353" s="530"/>
    </row>
    <row r="354" spans="1:9">
      <c r="C354" t="s">
        <v>777</v>
      </c>
      <c r="D354" t="s">
        <v>555</v>
      </c>
      <c r="E354" s="1672">
        <f>E345+E348+E350+E352</f>
        <v>1396442.4</v>
      </c>
      <c r="F354" s="1672"/>
      <c r="G354" s="1672"/>
      <c r="H354" s="1672"/>
    </row>
    <row r="355" spans="1:9">
      <c r="C355" t="s">
        <v>778</v>
      </c>
      <c r="D355" t="s">
        <v>555</v>
      </c>
      <c r="E355" s="1670">
        <f>ROUND(E354,-2)</f>
        <v>1396400</v>
      </c>
      <c r="F355" s="1670"/>
      <c r="G355" s="1670"/>
      <c r="H355" s="1670"/>
    </row>
    <row r="359" spans="1:9" ht="18">
      <c r="A359" s="1625" t="s">
        <v>528</v>
      </c>
      <c r="B359" s="1625"/>
      <c r="C359" s="1625"/>
      <c r="D359" s="1625"/>
      <c r="E359" s="1625"/>
      <c r="F359" s="1625"/>
      <c r="G359" s="1625"/>
      <c r="H359" s="1625"/>
      <c r="I359" s="1625"/>
    </row>
    <row r="360" spans="1:9" ht="15.6">
      <c r="A360" s="1626" t="s">
        <v>761</v>
      </c>
      <c r="B360" s="1626"/>
      <c r="C360" s="1626"/>
      <c r="D360" s="1626"/>
      <c r="E360" s="1626"/>
      <c r="F360" s="1626"/>
      <c r="G360" s="1626"/>
      <c r="H360" s="1626"/>
      <c r="I360" s="1626"/>
    </row>
    <row r="361" spans="1:9" ht="15.6">
      <c r="A361" s="1626" t="s">
        <v>600</v>
      </c>
      <c r="B361" s="1626"/>
      <c r="C361" s="1626"/>
      <c r="D361" s="1626"/>
      <c r="E361" s="1626"/>
      <c r="F361" s="1626"/>
      <c r="G361" s="1626"/>
      <c r="H361" s="1626"/>
      <c r="I361" s="1626"/>
    </row>
    <row r="363" spans="1:9">
      <c r="B363" s="520" t="s">
        <v>265</v>
      </c>
      <c r="C363" t="s">
        <v>763</v>
      </c>
    </row>
    <row r="364" spans="1:9">
      <c r="C364" t="s">
        <v>764</v>
      </c>
    </row>
    <row r="365" spans="1:9">
      <c r="C365" s="584" t="s">
        <v>765</v>
      </c>
    </row>
    <row r="366" spans="1:9">
      <c r="C366" t="s">
        <v>766</v>
      </c>
      <c r="D366" t="s">
        <v>555</v>
      </c>
      <c r="E366" s="1671">
        <v>500000</v>
      </c>
      <c r="F366" s="1671"/>
      <c r="G366" s="1671"/>
    </row>
    <row r="367" spans="1:9">
      <c r="C367" s="584" t="s">
        <v>767</v>
      </c>
    </row>
    <row r="368" spans="1:9">
      <c r="C368" t="s">
        <v>768</v>
      </c>
      <c r="D368" t="s">
        <v>555</v>
      </c>
      <c r="E368" s="535" t="s">
        <v>769</v>
      </c>
      <c r="F368" s="535"/>
      <c r="G368" s="535"/>
      <c r="H368" s="536"/>
    </row>
    <row r="369" spans="2:8">
      <c r="C369" s="528" t="s">
        <v>770</v>
      </c>
      <c r="D369" t="s">
        <v>555</v>
      </c>
      <c r="E369" s="1669">
        <v>437284.272</v>
      </c>
      <c r="F369" s="1669"/>
      <c r="G369" s="1669"/>
      <c r="H369" s="1669"/>
    </row>
    <row r="370" spans="2:8">
      <c r="C370" t="s">
        <v>771</v>
      </c>
      <c r="E370" s="537"/>
      <c r="F370" s="537"/>
      <c r="G370" s="537"/>
      <c r="H370" s="537"/>
    </row>
    <row r="371" spans="2:8">
      <c r="E371" s="537"/>
      <c r="F371" s="537"/>
      <c r="G371" s="537"/>
      <c r="H371" s="537"/>
    </row>
    <row r="372" spans="2:8">
      <c r="C372" s="584" t="s">
        <v>772</v>
      </c>
      <c r="D372" t="s">
        <v>555</v>
      </c>
      <c r="E372" t="s">
        <v>773</v>
      </c>
    </row>
    <row r="373" spans="2:8">
      <c r="C373" t="s">
        <v>774</v>
      </c>
      <c r="D373" t="s">
        <v>555</v>
      </c>
      <c r="E373" s="1669">
        <v>132183.557</v>
      </c>
      <c r="F373" s="1669"/>
      <c r="G373" s="1669"/>
      <c r="H373" s="1669"/>
    </row>
    <row r="374" spans="2:8">
      <c r="C374" t="s">
        <v>775</v>
      </c>
    </row>
    <row r="375" spans="2:8">
      <c r="C375" s="584" t="s">
        <v>776</v>
      </c>
      <c r="E375" s="1636"/>
      <c r="F375" s="1636"/>
      <c r="G375" s="1636"/>
    </row>
    <row r="376" spans="2:8" ht="15" thickBot="1">
      <c r="D376" s="530"/>
      <c r="E376" s="534"/>
      <c r="F376" s="534"/>
      <c r="G376" s="534"/>
      <c r="H376" s="530"/>
    </row>
    <row r="377" spans="2:8">
      <c r="C377" t="s">
        <v>777</v>
      </c>
      <c r="D377" t="s">
        <v>555</v>
      </c>
      <c r="E377" s="1670">
        <f>E366+E369+E373</f>
        <v>1069467.8289999999</v>
      </c>
      <c r="F377" s="1670"/>
      <c r="G377" s="1670"/>
      <c r="H377" s="1670"/>
    </row>
    <row r="378" spans="2:8">
      <c r="C378" t="s">
        <v>778</v>
      </c>
      <c r="D378" t="s">
        <v>555</v>
      </c>
      <c r="E378" s="1670">
        <f>ROUND(E377,-2)</f>
        <v>1069500</v>
      </c>
      <c r="F378" s="1670"/>
      <c r="G378" s="1670"/>
      <c r="H378" s="1670"/>
    </row>
    <row r="379" spans="2:8">
      <c r="E379" s="1636"/>
      <c r="F379" s="1636"/>
      <c r="G379" s="1636"/>
    </row>
    <row r="380" spans="2:8">
      <c r="B380" s="520" t="s">
        <v>442</v>
      </c>
      <c r="C380" t="s">
        <v>779</v>
      </c>
      <c r="E380" s="1636"/>
      <c r="F380" s="1636"/>
      <c r="G380" s="1636"/>
    </row>
    <row r="381" spans="2:8">
      <c r="C381" t="s">
        <v>780</v>
      </c>
      <c r="E381" s="1636"/>
      <c r="F381" s="1636"/>
      <c r="G381" s="1636"/>
    </row>
    <row r="382" spans="2:8">
      <c r="C382" s="584" t="s">
        <v>781</v>
      </c>
      <c r="D382" t="s">
        <v>555</v>
      </c>
      <c r="E382" s="533" t="s">
        <v>782</v>
      </c>
      <c r="F382" s="533"/>
      <c r="G382" s="533"/>
    </row>
    <row r="383" spans="2:8">
      <c r="C383" t="s">
        <v>783</v>
      </c>
      <c r="D383" t="s">
        <v>555</v>
      </c>
      <c r="E383" s="533" t="s">
        <v>784</v>
      </c>
      <c r="F383" s="533"/>
      <c r="G383" s="533"/>
    </row>
    <row r="384" spans="2:8">
      <c r="D384" t="s">
        <v>555</v>
      </c>
      <c r="E384" s="1670">
        <v>1087344</v>
      </c>
      <c r="F384" s="1670"/>
      <c r="G384" s="1670"/>
    </row>
    <row r="385" spans="1:8">
      <c r="C385" s="584" t="s">
        <v>785</v>
      </c>
      <c r="D385" t="s">
        <v>555</v>
      </c>
      <c r="E385" s="533" t="s">
        <v>786</v>
      </c>
      <c r="F385" s="533"/>
      <c r="G385" s="533"/>
    </row>
    <row r="386" spans="1:8">
      <c r="C386" t="s">
        <v>787</v>
      </c>
      <c r="D386" t="s">
        <v>555</v>
      </c>
      <c r="E386" s="533" t="s">
        <v>788</v>
      </c>
      <c r="F386" s="533"/>
      <c r="G386" s="533"/>
    </row>
    <row r="387" spans="1:8">
      <c r="D387" t="s">
        <v>555</v>
      </c>
      <c r="E387" s="1670">
        <v>180000</v>
      </c>
      <c r="F387" s="1670"/>
      <c r="G387" s="1670"/>
    </row>
    <row r="388" spans="1:8">
      <c r="C388" s="584" t="s">
        <v>789</v>
      </c>
      <c r="D388" t="s">
        <v>555</v>
      </c>
      <c r="E388" s="533" t="s">
        <v>790</v>
      </c>
    </row>
    <row r="389" spans="1:8">
      <c r="B389" s="520"/>
      <c r="D389" t="s">
        <v>555</v>
      </c>
      <c r="E389" s="1672">
        <v>9815.2000000000007</v>
      </c>
      <c r="F389" s="1672"/>
      <c r="G389" s="1672"/>
    </row>
    <row r="390" spans="1:8">
      <c r="C390" s="584" t="s">
        <v>791</v>
      </c>
      <c r="D390" t="s">
        <v>555</v>
      </c>
      <c r="E390" s="533" t="s">
        <v>792</v>
      </c>
    </row>
    <row r="391" spans="1:8">
      <c r="C391" t="s">
        <v>793</v>
      </c>
      <c r="D391" t="s">
        <v>555</v>
      </c>
      <c r="E391" s="1672">
        <v>119283.2</v>
      </c>
      <c r="F391" s="1672"/>
      <c r="G391" s="1672"/>
    </row>
    <row r="392" spans="1:8" ht="15" thickBot="1">
      <c r="B392" s="520"/>
      <c r="D392" s="530"/>
      <c r="E392" s="1673"/>
      <c r="F392" s="1673"/>
      <c r="G392" s="1673"/>
      <c r="H392" s="530"/>
    </row>
    <row r="393" spans="1:8">
      <c r="C393" t="s">
        <v>777</v>
      </c>
      <c r="D393" t="s">
        <v>555</v>
      </c>
      <c r="E393" s="1672">
        <f>E384+E387+E389+E391</f>
        <v>1396442.4</v>
      </c>
      <c r="F393" s="1672"/>
      <c r="G393" s="1672"/>
      <c r="H393" s="1672"/>
    </row>
    <row r="394" spans="1:8">
      <c r="C394" t="s">
        <v>778</v>
      </c>
      <c r="D394" t="s">
        <v>555</v>
      </c>
      <c r="E394" s="1670">
        <f>ROUND(E393,-2)</f>
        <v>1396400</v>
      </c>
      <c r="F394" s="1670"/>
      <c r="G394" s="1670"/>
      <c r="H394" s="1670"/>
    </row>
    <row r="398" spans="1:8" ht="18">
      <c r="A398" s="1625" t="s">
        <v>528</v>
      </c>
      <c r="B398" s="1625"/>
      <c r="C398" s="1625"/>
      <c r="D398" s="1625"/>
      <c r="E398" s="1625"/>
      <c r="F398" s="1625"/>
      <c r="G398" s="1625"/>
      <c r="H398" s="1625"/>
    </row>
    <row r="399" spans="1:8" ht="15.6">
      <c r="A399" s="1626" t="s">
        <v>724</v>
      </c>
      <c r="B399" s="1626"/>
      <c r="C399" s="1626"/>
      <c r="D399" s="1626"/>
      <c r="E399" s="1626"/>
      <c r="F399" s="1626"/>
      <c r="G399" s="1626"/>
      <c r="H399" s="1626"/>
    </row>
    <row r="400" spans="1:8" ht="15.6">
      <c r="A400" s="1626" t="s">
        <v>794</v>
      </c>
      <c r="B400" s="1626"/>
      <c r="C400" s="1626"/>
      <c r="D400" s="1626"/>
      <c r="E400" s="1626"/>
      <c r="F400" s="1626"/>
      <c r="G400" s="1626"/>
      <c r="H400" s="1626"/>
    </row>
    <row r="402" spans="2:7">
      <c r="B402" s="587" t="s">
        <v>725</v>
      </c>
      <c r="C402" t="s">
        <v>726</v>
      </c>
    </row>
    <row r="403" spans="2:7">
      <c r="C403" t="s">
        <v>795</v>
      </c>
    </row>
    <row r="404" spans="2:7">
      <c r="C404" s="584" t="s">
        <v>728</v>
      </c>
      <c r="D404" t="s">
        <v>555</v>
      </c>
      <c r="E404" t="s">
        <v>729</v>
      </c>
    </row>
    <row r="405" spans="2:7">
      <c r="D405" t="s">
        <v>555</v>
      </c>
      <c r="E405" s="1636">
        <v>12502000</v>
      </c>
      <c r="F405" s="1636"/>
      <c r="G405" s="1636"/>
    </row>
    <row r="406" spans="2:7">
      <c r="C406" s="584" t="s">
        <v>730</v>
      </c>
      <c r="D406" t="s">
        <v>555</v>
      </c>
      <c r="E406" t="s">
        <v>731</v>
      </c>
    </row>
    <row r="407" spans="2:7">
      <c r="D407" t="s">
        <v>555</v>
      </c>
      <c r="E407" s="1636">
        <v>9128000</v>
      </c>
      <c r="F407" s="1636"/>
      <c r="G407" s="1636"/>
    </row>
    <row r="408" spans="2:7">
      <c r="C408" s="584" t="s">
        <v>732</v>
      </c>
      <c r="D408" t="s">
        <v>555</v>
      </c>
      <c r="E408" t="s">
        <v>733</v>
      </c>
    </row>
    <row r="409" spans="2:7">
      <c r="D409" t="s">
        <v>555</v>
      </c>
      <c r="E409" s="1636">
        <v>8114800</v>
      </c>
      <c r="F409" s="1636"/>
      <c r="G409" s="1636"/>
    </row>
    <row r="410" spans="2:7">
      <c r="C410" s="584" t="s">
        <v>734</v>
      </c>
      <c r="D410" t="s">
        <v>555</v>
      </c>
      <c r="E410" t="s">
        <v>735</v>
      </c>
    </row>
    <row r="411" spans="2:7">
      <c r="D411" t="s">
        <v>555</v>
      </c>
      <c r="E411" s="1636">
        <v>2947000</v>
      </c>
      <c r="F411" s="1636"/>
      <c r="G411" s="1636"/>
    </row>
    <row r="412" spans="2:7">
      <c r="C412" s="584" t="s">
        <v>736</v>
      </c>
      <c r="D412" t="s">
        <v>555</v>
      </c>
      <c r="E412" t="s">
        <v>737</v>
      </c>
    </row>
    <row r="413" spans="2:7">
      <c r="D413" t="s">
        <v>555</v>
      </c>
      <c r="E413" s="1636">
        <v>1497000</v>
      </c>
      <c r="F413" s="1636"/>
      <c r="G413" s="1636"/>
    </row>
    <row r="414" spans="2:7">
      <c r="C414" s="584" t="s">
        <v>738</v>
      </c>
      <c r="D414" t="s">
        <v>555</v>
      </c>
      <c r="E414" t="s">
        <v>739</v>
      </c>
    </row>
    <row r="415" spans="2:7">
      <c r="D415" t="s">
        <v>555</v>
      </c>
      <c r="E415" s="1636">
        <v>2129400</v>
      </c>
      <c r="F415" s="1636"/>
      <c r="G415" s="1636"/>
    </row>
    <row r="416" spans="2:7">
      <c r="C416" s="584" t="s">
        <v>740</v>
      </c>
      <c r="D416" t="s">
        <v>555</v>
      </c>
      <c r="E416" t="s">
        <v>741</v>
      </c>
    </row>
    <row r="417" spans="3:7">
      <c r="D417" t="s">
        <v>555</v>
      </c>
      <c r="E417" s="1636">
        <v>2800000</v>
      </c>
      <c r="F417" s="1636"/>
      <c r="G417" s="1636"/>
    </row>
    <row r="418" spans="3:7">
      <c r="C418" s="584" t="s">
        <v>742</v>
      </c>
      <c r="D418" t="s">
        <v>555</v>
      </c>
      <c r="E418" t="s">
        <v>743</v>
      </c>
    </row>
    <row r="419" spans="3:7">
      <c r="D419" t="s">
        <v>555</v>
      </c>
      <c r="E419" s="1636">
        <v>6900000</v>
      </c>
      <c r="F419" s="1636"/>
      <c r="G419" s="1636"/>
    </row>
    <row r="420" spans="3:7">
      <c r="C420" s="584" t="s">
        <v>744</v>
      </c>
      <c r="D420" t="s">
        <v>555</v>
      </c>
      <c r="E420" t="s">
        <v>745</v>
      </c>
    </row>
    <row r="421" spans="3:7">
      <c r="D421" t="s">
        <v>555</v>
      </c>
      <c r="E421" s="1636">
        <v>500000</v>
      </c>
      <c r="F421" s="1636"/>
      <c r="G421" s="1636"/>
    </row>
    <row r="422" spans="3:7">
      <c r="C422" s="584" t="s">
        <v>746</v>
      </c>
      <c r="D422" t="s">
        <v>555</v>
      </c>
      <c r="E422" t="s">
        <v>747</v>
      </c>
    </row>
    <row r="423" spans="3:7">
      <c r="D423" t="s">
        <v>555</v>
      </c>
      <c r="E423" s="1636">
        <v>1900000</v>
      </c>
      <c r="F423" s="1636"/>
      <c r="G423" s="1636"/>
    </row>
    <row r="424" spans="3:7">
      <c r="C424" s="584" t="s">
        <v>748</v>
      </c>
      <c r="E424" s="1636"/>
      <c r="F424" s="1636"/>
      <c r="G424" s="1636"/>
    </row>
    <row r="425" spans="3:7">
      <c r="C425" t="s">
        <v>749</v>
      </c>
      <c r="D425" t="s">
        <v>555</v>
      </c>
      <c r="E425" s="1636">
        <v>5000000</v>
      </c>
      <c r="F425" s="1636"/>
      <c r="G425" s="1636"/>
    </row>
    <row r="426" spans="3:7">
      <c r="C426" s="584" t="s">
        <v>750</v>
      </c>
      <c r="E426" s="533"/>
      <c r="F426" s="533"/>
      <c r="G426" s="533"/>
    </row>
    <row r="427" spans="3:7">
      <c r="C427" t="s">
        <v>749</v>
      </c>
      <c r="D427" t="s">
        <v>555</v>
      </c>
      <c r="E427" s="1636">
        <v>4500000</v>
      </c>
      <c r="F427" s="1636"/>
      <c r="G427" s="1636"/>
    </row>
    <row r="428" spans="3:7">
      <c r="C428" s="584" t="s">
        <v>751</v>
      </c>
      <c r="E428" s="533"/>
      <c r="F428" s="533"/>
      <c r="G428" s="533"/>
    </row>
    <row r="429" spans="3:7">
      <c r="C429" t="s">
        <v>752</v>
      </c>
      <c r="D429" t="s">
        <v>555</v>
      </c>
      <c r="E429" s="533" t="s">
        <v>753</v>
      </c>
      <c r="F429" s="533"/>
      <c r="G429" s="533"/>
    </row>
    <row r="430" spans="3:7" ht="15" thickBot="1">
      <c r="D430" s="530" t="s">
        <v>555</v>
      </c>
      <c r="E430" s="1668">
        <v>5500000</v>
      </c>
      <c r="F430" s="1668"/>
      <c r="G430" s="1668"/>
    </row>
    <row r="431" spans="3:7">
      <c r="D431" t="s">
        <v>555</v>
      </c>
      <c r="E431" s="1640">
        <f>E405+E407+E409+E411+E413+E415+E417+E419+E421+E423+E425+E427+E430</f>
        <v>63418200</v>
      </c>
      <c r="F431" s="1640"/>
      <c r="G431" s="1640"/>
    </row>
    <row r="433" spans="1:8">
      <c r="B433" s="587" t="s">
        <v>754</v>
      </c>
      <c r="C433" t="s">
        <v>755</v>
      </c>
      <c r="D433" t="s">
        <v>555</v>
      </c>
      <c r="E433" s="1640">
        <v>3130000</v>
      </c>
      <c r="F433" s="1640"/>
      <c r="G433" s="1640"/>
    </row>
    <row r="434" spans="1:8">
      <c r="C434" t="s">
        <v>756</v>
      </c>
    </row>
    <row r="436" spans="1:8">
      <c r="B436" s="587" t="s">
        <v>757</v>
      </c>
      <c r="C436" t="s">
        <v>758</v>
      </c>
      <c r="D436" t="s">
        <v>555</v>
      </c>
      <c r="E436" s="1640">
        <v>5000000</v>
      </c>
      <c r="F436" s="1640"/>
      <c r="G436" s="1640"/>
    </row>
    <row r="437" spans="1:8">
      <c r="C437" t="s">
        <v>759</v>
      </c>
    </row>
    <row r="438" spans="1:8">
      <c r="C438" t="s">
        <v>760</v>
      </c>
    </row>
    <row r="443" spans="1:8" ht="18">
      <c r="A443" s="1625" t="s">
        <v>528</v>
      </c>
      <c r="B443" s="1625"/>
      <c r="C443" s="1625"/>
      <c r="D443" s="1625"/>
      <c r="E443" s="1625"/>
      <c r="F443" s="1625"/>
      <c r="G443" s="1625"/>
      <c r="H443" s="1625"/>
    </row>
    <row r="444" spans="1:8" ht="15.6">
      <c r="A444" s="1646" t="s">
        <v>903</v>
      </c>
      <c r="B444" s="1626"/>
      <c r="C444" s="1626"/>
      <c r="D444" s="1626"/>
      <c r="E444" s="1626"/>
      <c r="F444" s="1626"/>
      <c r="G444" s="1626"/>
      <c r="H444" s="1626"/>
    </row>
    <row r="445" spans="1:8" ht="15.6">
      <c r="A445" s="1646" t="s">
        <v>904</v>
      </c>
      <c r="B445" s="1626"/>
      <c r="C445" s="1626"/>
      <c r="D445" s="1626"/>
      <c r="E445" s="1626"/>
      <c r="F445" s="1626"/>
      <c r="G445" s="1626"/>
      <c r="H445" s="1626"/>
    </row>
    <row r="447" spans="1:8">
      <c r="B447" s="587"/>
    </row>
    <row r="449" spans="3:7">
      <c r="C449" s="600" t="s">
        <v>908</v>
      </c>
      <c r="D449" t="s">
        <v>555</v>
      </c>
      <c r="E449" s="1634">
        <v>1445499</v>
      </c>
      <c r="F449" s="1634"/>
    </row>
    <row r="450" spans="3:7">
      <c r="C450" s="601" t="s">
        <v>906</v>
      </c>
      <c r="E450" s="1636"/>
      <c r="F450" s="1636"/>
      <c r="G450" s="1636"/>
    </row>
    <row r="451" spans="3:7">
      <c r="C451" s="601" t="s">
        <v>907</v>
      </c>
      <c r="E451" s="533"/>
      <c r="F451" s="533"/>
      <c r="G451" s="533"/>
    </row>
    <row r="452" spans="3:7" ht="15" thickBot="1">
      <c r="C452" s="600" t="s">
        <v>905</v>
      </c>
      <c r="D452" s="523" t="s">
        <v>555</v>
      </c>
      <c r="E452" s="1653">
        <v>4200000</v>
      </c>
      <c r="F452" s="1653"/>
      <c r="G452" s="523"/>
    </row>
    <row r="453" spans="3:7">
      <c r="D453" t="s">
        <v>555</v>
      </c>
      <c r="E453" s="1649">
        <v>5645000</v>
      </c>
      <c r="F453" s="1649"/>
      <c r="G453" s="1649"/>
    </row>
    <row r="454" spans="3:7">
      <c r="C454" s="584"/>
    </row>
    <row r="455" spans="3:7">
      <c r="E455" s="1636"/>
      <c r="F455" s="1636"/>
      <c r="G455" s="1636"/>
    </row>
    <row r="456" spans="3:7">
      <c r="C456" s="600" t="s">
        <v>909</v>
      </c>
      <c r="D456" t="s">
        <v>555</v>
      </c>
      <c r="E456" s="1648">
        <v>443812.5</v>
      </c>
      <c r="F456" s="1648"/>
    </row>
    <row r="457" spans="3:7">
      <c r="E457" s="1636"/>
      <c r="F457" s="1636"/>
      <c r="G457" s="1636"/>
    </row>
    <row r="458" spans="3:7">
      <c r="C458" s="600" t="s">
        <v>910</v>
      </c>
      <c r="D458" t="s">
        <v>555</v>
      </c>
      <c r="E458" s="1628">
        <v>250000</v>
      </c>
      <c r="F458" s="1628"/>
    </row>
    <row r="459" spans="3:7">
      <c r="E459" s="1636"/>
      <c r="F459" s="1636"/>
      <c r="G459" s="1636"/>
    </row>
    <row r="460" spans="3:7">
      <c r="C460" s="600" t="s">
        <v>911</v>
      </c>
      <c r="D460" t="s">
        <v>555</v>
      </c>
      <c r="E460" s="1628">
        <v>500000</v>
      </c>
      <c r="F460" s="1628"/>
    </row>
    <row r="461" spans="3:7">
      <c r="E461" s="1636"/>
      <c r="F461" s="1636"/>
      <c r="G461" s="1636"/>
    </row>
    <row r="462" spans="3:7">
      <c r="C462" s="600" t="s">
        <v>912</v>
      </c>
      <c r="D462" t="s">
        <v>555</v>
      </c>
      <c r="E462" s="1628">
        <v>350000</v>
      </c>
      <c r="F462" s="1628"/>
    </row>
    <row r="463" spans="3:7">
      <c r="E463" s="1636"/>
      <c r="F463" s="1636"/>
      <c r="G463" s="1636"/>
    </row>
    <row r="464" spans="3:7">
      <c r="C464" s="600" t="s">
        <v>913</v>
      </c>
      <c r="D464" t="s">
        <v>555</v>
      </c>
      <c r="E464" s="1628">
        <v>400000</v>
      </c>
      <c r="F464" s="1628"/>
    </row>
    <row r="465" spans="1:8">
      <c r="E465" s="1636"/>
      <c r="F465" s="1636"/>
      <c r="G465" s="1636"/>
    </row>
    <row r="466" spans="1:8">
      <c r="C466" s="584"/>
    </row>
    <row r="467" spans="1:8">
      <c r="E467" s="1636"/>
      <c r="F467" s="1636"/>
      <c r="G467" s="1636"/>
    </row>
    <row r="468" spans="1:8">
      <c r="C468" s="584"/>
    </row>
    <row r="469" spans="1:8" ht="18">
      <c r="A469" s="1650" t="s">
        <v>1071</v>
      </c>
      <c r="B469" s="1625"/>
      <c r="C469" s="1625"/>
      <c r="D469" s="1625"/>
      <c r="E469" s="1625"/>
      <c r="F469" s="1625"/>
      <c r="G469" s="1625"/>
      <c r="H469" s="1625"/>
    </row>
    <row r="470" spans="1:8" ht="15.6">
      <c r="A470" s="1646" t="s">
        <v>1049</v>
      </c>
      <c r="B470" s="1626"/>
      <c r="C470" s="1626"/>
      <c r="D470" s="1626"/>
      <c r="E470" s="1626"/>
      <c r="F470" s="1626"/>
      <c r="G470" s="1626"/>
      <c r="H470" s="1626"/>
    </row>
    <row r="471" spans="1:8" ht="15.6">
      <c r="A471" s="1646" t="s">
        <v>1050</v>
      </c>
      <c r="B471" s="1626"/>
      <c r="C471" s="1626"/>
      <c r="D471" s="1626"/>
      <c r="E471" s="1626"/>
      <c r="F471" s="1626"/>
      <c r="G471" s="1626"/>
      <c r="H471" s="1626"/>
    </row>
    <row r="473" spans="1:8">
      <c r="B473" s="587"/>
    </row>
    <row r="475" spans="1:8">
      <c r="B475" s="520" t="s">
        <v>12</v>
      </c>
      <c r="C475" s="601" t="s">
        <v>1051</v>
      </c>
      <c r="E475" s="1634"/>
      <c r="F475" s="1634"/>
    </row>
    <row r="476" spans="1:8">
      <c r="C476" s="600" t="s">
        <v>1052</v>
      </c>
      <c r="D476" t="s">
        <v>555</v>
      </c>
      <c r="E476" s="1641" t="s">
        <v>1055</v>
      </c>
      <c r="F476" s="1636"/>
      <c r="G476" s="1636"/>
    </row>
    <row r="477" spans="1:8">
      <c r="C477" s="600" t="s">
        <v>1053</v>
      </c>
      <c r="D477" t="s">
        <v>555</v>
      </c>
      <c r="E477" s="748" t="s">
        <v>1056</v>
      </c>
      <c r="F477" s="533"/>
      <c r="G477" s="533"/>
    </row>
    <row r="478" spans="1:8">
      <c r="C478" s="600" t="s">
        <v>1054</v>
      </c>
      <c r="D478" s="749"/>
      <c r="E478" s="1651"/>
      <c r="F478" s="1651"/>
      <c r="G478" s="749"/>
    </row>
    <row r="479" spans="1:8">
      <c r="E479" s="1649"/>
      <c r="F479" s="1649"/>
      <c r="G479" s="1649"/>
    </row>
    <row r="480" spans="1:8">
      <c r="C480" s="600" t="s">
        <v>1057</v>
      </c>
      <c r="D480" t="s">
        <v>555</v>
      </c>
      <c r="E480" s="1638" t="s">
        <v>1059</v>
      </c>
      <c r="F480" s="1648"/>
    </row>
    <row r="481" spans="3:7">
      <c r="C481" s="600" t="s">
        <v>1053</v>
      </c>
      <c r="D481" t="s">
        <v>555</v>
      </c>
      <c r="E481" s="1641" t="s">
        <v>1060</v>
      </c>
      <c r="F481" s="1636"/>
      <c r="G481" s="1636"/>
    </row>
    <row r="482" spans="3:7">
      <c r="C482" s="600" t="s">
        <v>1058</v>
      </c>
      <c r="D482" t="s">
        <v>555</v>
      </c>
      <c r="E482" s="748" t="s">
        <v>1061</v>
      </c>
      <c r="F482" s="533"/>
      <c r="G482" s="533"/>
    </row>
    <row r="483" spans="3:7">
      <c r="C483" s="600"/>
      <c r="E483" s="533"/>
      <c r="F483" s="533"/>
      <c r="G483" s="533"/>
    </row>
    <row r="484" spans="3:7">
      <c r="C484" s="600" t="s">
        <v>1062</v>
      </c>
      <c r="D484" t="s">
        <v>555</v>
      </c>
      <c r="E484" s="1638" t="s">
        <v>1063</v>
      </c>
      <c r="F484" s="1648"/>
    </row>
    <row r="485" spans="3:7">
      <c r="C485" s="600" t="s">
        <v>1053</v>
      </c>
      <c r="D485" t="s">
        <v>555</v>
      </c>
      <c r="E485" s="1649" t="s">
        <v>1064</v>
      </c>
      <c r="F485" s="1649"/>
      <c r="G485" s="1649"/>
    </row>
    <row r="486" spans="3:7">
      <c r="C486" s="600" t="s">
        <v>1058</v>
      </c>
      <c r="E486" s="750"/>
      <c r="F486" s="533"/>
      <c r="G486" s="533"/>
    </row>
    <row r="487" spans="3:7" ht="15" thickBot="1">
      <c r="D487" s="523"/>
      <c r="E487" s="523"/>
      <c r="F487" s="523"/>
      <c r="G487" s="523"/>
    </row>
    <row r="488" spans="3:7">
      <c r="C488" s="751" t="s">
        <v>1066</v>
      </c>
      <c r="D488" t="s">
        <v>555</v>
      </c>
      <c r="E488" s="752" t="s">
        <v>1065</v>
      </c>
    </row>
    <row r="490" spans="3:7">
      <c r="C490" s="751" t="s">
        <v>1067</v>
      </c>
      <c r="D490" t="s">
        <v>555</v>
      </c>
      <c r="E490" s="1628">
        <v>444325</v>
      </c>
      <c r="F490" s="1628"/>
    </row>
    <row r="492" spans="3:7">
      <c r="C492" s="751" t="s">
        <v>1068</v>
      </c>
      <c r="D492" t="s">
        <v>555</v>
      </c>
      <c r="E492" s="601" t="s">
        <v>1069</v>
      </c>
    </row>
    <row r="493" spans="3:7">
      <c r="D493" t="s">
        <v>555</v>
      </c>
      <c r="E493" s="1628">
        <v>12330018</v>
      </c>
      <c r="F493" s="1628"/>
      <c r="G493" s="1628"/>
    </row>
    <row r="494" spans="3:7">
      <c r="C494" s="751" t="s">
        <v>1070</v>
      </c>
      <c r="D494" t="s">
        <v>555</v>
      </c>
      <c r="E494" s="1652">
        <v>12330000</v>
      </c>
      <c r="F494" s="1652"/>
      <c r="G494" s="1652"/>
    </row>
    <row r="499" spans="1:8" ht="18">
      <c r="A499" s="1650" t="s">
        <v>1101</v>
      </c>
      <c r="B499" s="1625"/>
      <c r="C499" s="1625"/>
      <c r="D499" s="1625"/>
      <c r="E499" s="1625"/>
      <c r="F499" s="1625"/>
      <c r="G499" s="1625"/>
      <c r="H499" s="1625"/>
    </row>
    <row r="500" spans="1:8" ht="15.6">
      <c r="A500" s="1646" t="s">
        <v>1092</v>
      </c>
      <c r="B500" s="1626"/>
      <c r="C500" s="1626"/>
      <c r="D500" s="1626"/>
      <c r="E500" s="1626"/>
      <c r="F500" s="1626"/>
      <c r="G500" s="1626"/>
      <c r="H500" s="1626"/>
    </row>
    <row r="501" spans="1:8" ht="15.6">
      <c r="A501" s="1646" t="s">
        <v>1102</v>
      </c>
      <c r="B501" s="1626"/>
      <c r="C501" s="1626"/>
      <c r="D501" s="1626"/>
      <c r="E501" s="1626"/>
      <c r="F501" s="1626"/>
      <c r="G501" s="1626"/>
      <c r="H501" s="1626"/>
    </row>
    <row r="503" spans="1:8">
      <c r="B503" s="520">
        <v>1</v>
      </c>
      <c r="C503" s="601" t="s">
        <v>1103</v>
      </c>
      <c r="E503" s="1634"/>
      <c r="F503" s="1634"/>
    </row>
    <row r="504" spans="1:8">
      <c r="C504" s="600" t="s">
        <v>1126</v>
      </c>
      <c r="E504" s="1641"/>
      <c r="F504" s="1636"/>
      <c r="G504" s="1636"/>
    </row>
    <row r="505" spans="1:8">
      <c r="C505" s="601" t="s">
        <v>1132</v>
      </c>
      <c r="E505" s="750"/>
      <c r="F505" s="533"/>
      <c r="G505" s="533"/>
    </row>
    <row r="506" spans="1:8">
      <c r="C506" s="600" t="s">
        <v>1104</v>
      </c>
      <c r="D506" t="s">
        <v>555</v>
      </c>
      <c r="E506" s="1642" t="s">
        <v>1112</v>
      </c>
      <c r="F506" s="1642"/>
      <c r="G506" s="533"/>
    </row>
    <row r="507" spans="1:8">
      <c r="C507" s="600" t="s">
        <v>1105</v>
      </c>
      <c r="D507" t="s">
        <v>555</v>
      </c>
      <c r="E507" s="1642" t="s">
        <v>1112</v>
      </c>
      <c r="F507" s="1642"/>
      <c r="G507" s="749"/>
    </row>
    <row r="508" spans="1:8" ht="15" thickBot="1">
      <c r="C508" s="600" t="s">
        <v>1106</v>
      </c>
      <c r="D508" s="523" t="s">
        <v>555</v>
      </c>
      <c r="E508" s="1642" t="s">
        <v>1112</v>
      </c>
      <c r="F508" s="1642"/>
      <c r="G508" s="754"/>
    </row>
    <row r="509" spans="1:8">
      <c r="C509" s="756" t="s">
        <v>1107</v>
      </c>
      <c r="D509" s="755" t="s">
        <v>555</v>
      </c>
      <c r="E509" s="1647" t="s">
        <v>1111</v>
      </c>
      <c r="F509" s="1647"/>
      <c r="G509" s="754"/>
    </row>
    <row r="510" spans="1:8">
      <c r="C510" s="600"/>
      <c r="E510" s="750"/>
      <c r="F510" s="750"/>
      <c r="G510" s="754"/>
    </row>
    <row r="511" spans="1:8">
      <c r="C511" s="600"/>
      <c r="E511" s="750"/>
      <c r="F511" s="750"/>
      <c r="G511" s="754"/>
    </row>
    <row r="512" spans="1:8">
      <c r="B512" s="652">
        <v>2</v>
      </c>
      <c r="C512" s="601" t="s">
        <v>1108</v>
      </c>
      <c r="E512" s="750"/>
      <c r="F512" s="750"/>
      <c r="G512" s="754"/>
    </row>
    <row r="513" spans="2:8">
      <c r="C513" s="600" t="s">
        <v>1109</v>
      </c>
      <c r="E513" s="1638"/>
      <c r="F513" s="1648"/>
    </row>
    <row r="514" spans="2:8">
      <c r="C514" s="600" t="s">
        <v>1110</v>
      </c>
      <c r="D514" t="s">
        <v>555</v>
      </c>
      <c r="E514" s="1642" t="s">
        <v>1115</v>
      </c>
      <c r="F514" s="1642"/>
      <c r="G514" s="535"/>
    </row>
    <row r="515" spans="2:8" ht="15" thickBot="1">
      <c r="C515" s="600" t="s">
        <v>1127</v>
      </c>
      <c r="D515" s="523" t="s">
        <v>555</v>
      </c>
      <c r="E515" s="1645" t="s">
        <v>1114</v>
      </c>
      <c r="F515" s="1645"/>
      <c r="G515" s="533"/>
    </row>
    <row r="516" spans="2:8">
      <c r="C516" s="756" t="s">
        <v>1107</v>
      </c>
      <c r="D516" t="s">
        <v>555</v>
      </c>
      <c r="E516" s="1647" t="s">
        <v>1113</v>
      </c>
      <c r="F516" s="1647"/>
      <c r="G516" s="533"/>
    </row>
    <row r="517" spans="2:8">
      <c r="C517" s="756"/>
      <c r="E517" s="757"/>
      <c r="F517" s="757"/>
      <c r="G517" s="533"/>
    </row>
    <row r="518" spans="2:8">
      <c r="B518" s="520">
        <v>3</v>
      </c>
      <c r="C518" s="758" t="s">
        <v>1116</v>
      </c>
      <c r="E518" s="757"/>
      <c r="F518" s="757"/>
      <c r="G518" s="533"/>
    </row>
    <row r="519" spans="2:8">
      <c r="C519" s="759" t="s">
        <v>1117</v>
      </c>
      <c r="E519" s="757"/>
      <c r="F519" s="757"/>
      <c r="G519" s="533"/>
    </row>
    <row r="520" spans="2:8">
      <c r="C520" s="758" t="s">
        <v>1118</v>
      </c>
      <c r="E520" s="757"/>
      <c r="F520" s="757"/>
      <c r="G520" s="533"/>
    </row>
    <row r="521" spans="2:8">
      <c r="C521" s="756"/>
      <c r="E521" s="757"/>
      <c r="F521" s="757"/>
      <c r="G521" s="533"/>
    </row>
    <row r="522" spans="2:8">
      <c r="C522" s="600" t="s">
        <v>1119</v>
      </c>
      <c r="D522" s="601" t="s">
        <v>555</v>
      </c>
      <c r="E522" s="760" t="s">
        <v>1125</v>
      </c>
      <c r="F522" s="536"/>
      <c r="G522" s="759" t="s">
        <v>1123</v>
      </c>
      <c r="H522" s="536"/>
    </row>
    <row r="523" spans="2:8">
      <c r="C523" s="600" t="s">
        <v>1120</v>
      </c>
      <c r="D523" s="601" t="s">
        <v>555</v>
      </c>
      <c r="E523" s="760" t="s">
        <v>1121</v>
      </c>
      <c r="F523" s="536"/>
      <c r="G523" s="759" t="s">
        <v>1122</v>
      </c>
      <c r="H523" s="536"/>
    </row>
    <row r="524" spans="2:8">
      <c r="C524" s="600" t="s">
        <v>1124</v>
      </c>
      <c r="D524" s="601" t="s">
        <v>555</v>
      </c>
      <c r="E524" s="760" t="s">
        <v>1128</v>
      </c>
      <c r="F524" s="536"/>
      <c r="G524" s="761" t="s">
        <v>1129</v>
      </c>
      <c r="H524" s="749"/>
    </row>
    <row r="525" spans="2:8">
      <c r="G525" s="658" t="s">
        <v>1130</v>
      </c>
    </row>
    <row r="526" spans="2:8">
      <c r="G526" s="600" t="s">
        <v>1131</v>
      </c>
    </row>
    <row r="531" spans="1:8" ht="18">
      <c r="A531" s="1625" t="s">
        <v>1155</v>
      </c>
      <c r="B531" s="1625"/>
      <c r="C531" s="1625"/>
      <c r="D531" s="1625"/>
      <c r="E531" s="1625"/>
      <c r="F531" s="1625"/>
      <c r="G531" s="1625"/>
      <c r="H531" s="1625"/>
    </row>
    <row r="532" spans="1:8" ht="15.6">
      <c r="A532" s="1626" t="s">
        <v>1166</v>
      </c>
      <c r="B532" s="1626"/>
      <c r="C532" s="1626"/>
      <c r="D532" s="1626"/>
      <c r="E532" s="1626"/>
      <c r="F532" s="1626"/>
      <c r="G532" s="1626"/>
      <c r="H532" s="1626"/>
    </row>
    <row r="533" spans="1:8" ht="15.6">
      <c r="A533" s="1646"/>
      <c r="B533" s="1626"/>
      <c r="C533" s="1626"/>
      <c r="D533" s="1626"/>
      <c r="E533" s="1626"/>
      <c r="F533" s="1626"/>
      <c r="G533" s="1626"/>
      <c r="H533" s="1626"/>
    </row>
    <row r="535" spans="1:8">
      <c r="B535" s="520"/>
      <c r="C535" s="832" t="s">
        <v>1156</v>
      </c>
      <c r="E535" s="1634"/>
      <c r="F535" s="1634"/>
    </row>
    <row r="536" spans="1:8">
      <c r="C536" s="833" t="s">
        <v>1157</v>
      </c>
      <c r="D536" t="s">
        <v>555</v>
      </c>
      <c r="E536" s="835" t="s">
        <v>1160</v>
      </c>
      <c r="F536" s="834"/>
      <c r="G536" s="535"/>
    </row>
    <row r="537" spans="1:8">
      <c r="C537" s="833" t="s">
        <v>1158</v>
      </c>
      <c r="D537" t="s">
        <v>555</v>
      </c>
      <c r="E537" s="1635" t="s">
        <v>1161</v>
      </c>
      <c r="F537" s="1641"/>
      <c r="G537" s="1641"/>
    </row>
    <row r="538" spans="1:8">
      <c r="C538" s="833" t="s">
        <v>1159</v>
      </c>
      <c r="D538" t="s">
        <v>555</v>
      </c>
      <c r="E538" s="1635" t="s">
        <v>1162</v>
      </c>
      <c r="F538" s="1641"/>
      <c r="G538" s="533"/>
    </row>
    <row r="539" spans="1:8" ht="15" thickBot="1">
      <c r="C539" s="600"/>
      <c r="D539" s="523"/>
      <c r="E539" s="1645"/>
      <c r="F539" s="1645"/>
      <c r="G539" s="523"/>
    </row>
    <row r="540" spans="1:8">
      <c r="C540" s="836" t="s">
        <v>1163</v>
      </c>
      <c r="D540" s="755" t="s">
        <v>555</v>
      </c>
      <c r="E540" s="1643" t="s">
        <v>1164</v>
      </c>
      <c r="F540" s="1644"/>
      <c r="G540" s="1644"/>
    </row>
    <row r="541" spans="1:8">
      <c r="C541" s="836" t="s">
        <v>30</v>
      </c>
      <c r="D541" s="755" t="s">
        <v>555</v>
      </c>
      <c r="E541" s="1632" t="s">
        <v>1165</v>
      </c>
      <c r="F541" s="1674"/>
      <c r="G541" s="754"/>
    </row>
    <row r="542" spans="1:8">
      <c r="C542" s="600"/>
      <c r="E542" s="750"/>
      <c r="F542" s="750"/>
      <c r="G542" s="754"/>
    </row>
    <row r="545" spans="1:8" ht="18">
      <c r="A545" s="1625" t="s">
        <v>1220</v>
      </c>
      <c r="B545" s="1625"/>
      <c r="C545" s="1625"/>
      <c r="D545" s="1625"/>
      <c r="E545" s="1625"/>
      <c r="F545" s="1625"/>
      <c r="G545" s="1625"/>
      <c r="H545" s="1625"/>
    </row>
    <row r="546" spans="1:8" ht="15.6">
      <c r="A546" s="1626" t="s">
        <v>1221</v>
      </c>
      <c r="B546" s="1626"/>
      <c r="C546" s="1626"/>
      <c r="D546" s="1626"/>
      <c r="E546" s="1626"/>
      <c r="F546" s="1626"/>
      <c r="G546" s="1626"/>
      <c r="H546" s="1626"/>
    </row>
    <row r="547" spans="1:8" ht="15.6">
      <c r="A547" s="1626" t="s">
        <v>1222</v>
      </c>
      <c r="B547" s="1626"/>
      <c r="C547" s="1626"/>
      <c r="D547" s="1626"/>
      <c r="E547" s="1626"/>
      <c r="F547" s="1626"/>
      <c r="G547" s="1626"/>
      <c r="H547" s="1626"/>
    </row>
    <row r="549" spans="1:8">
      <c r="B549" s="476" t="s">
        <v>12</v>
      </c>
      <c r="C549" s="524" t="s">
        <v>13</v>
      </c>
      <c r="E549" s="1634"/>
      <c r="F549" s="1634"/>
    </row>
    <row r="550" spans="1:8">
      <c r="C550" s="832" t="s">
        <v>1223</v>
      </c>
      <c r="E550" s="1641"/>
      <c r="F550" s="1636"/>
      <c r="G550" s="1636"/>
    </row>
    <row r="551" spans="1:8">
      <c r="C551" s="600"/>
      <c r="D551" t="s">
        <v>555</v>
      </c>
      <c r="E551" s="867" t="s">
        <v>1226</v>
      </c>
      <c r="F551" s="750"/>
      <c r="G551" s="533"/>
      <c r="H551" s="532"/>
    </row>
    <row r="552" spans="1:8">
      <c r="C552" s="600"/>
      <c r="D552" t="s">
        <v>555</v>
      </c>
      <c r="E552" s="865" t="s">
        <v>1224</v>
      </c>
      <c r="F552" s="750"/>
      <c r="G552" s="932"/>
    </row>
    <row r="553" spans="1:8">
      <c r="C553" s="600"/>
      <c r="E553" s="865"/>
      <c r="F553" s="750"/>
      <c r="G553" s="932"/>
    </row>
    <row r="554" spans="1:8">
      <c r="C554" s="832" t="s">
        <v>1229</v>
      </c>
      <c r="E554" s="865"/>
      <c r="F554" s="750"/>
      <c r="G554" s="932"/>
    </row>
    <row r="555" spans="1:8">
      <c r="C555" s="600"/>
      <c r="D555" s="832" t="s">
        <v>555</v>
      </c>
      <c r="E555" s="867" t="s">
        <v>1225</v>
      </c>
      <c r="F555" s="750"/>
      <c r="G555" s="932"/>
    </row>
    <row r="556" spans="1:8">
      <c r="C556" s="600"/>
      <c r="D556" s="832" t="s">
        <v>555</v>
      </c>
      <c r="E556" s="865" t="s">
        <v>1227</v>
      </c>
      <c r="F556" s="750"/>
      <c r="G556" s="932"/>
    </row>
    <row r="557" spans="1:8">
      <c r="C557" s="600"/>
      <c r="E557" s="865"/>
      <c r="F557" s="750"/>
      <c r="G557" s="932"/>
    </row>
    <row r="558" spans="1:8">
      <c r="C558" s="832" t="s">
        <v>1228</v>
      </c>
      <c r="E558" s="865"/>
      <c r="F558" s="750"/>
      <c r="G558" s="932"/>
    </row>
    <row r="559" spans="1:8">
      <c r="C559" s="600"/>
      <c r="D559" s="832" t="s">
        <v>555</v>
      </c>
      <c r="E559" s="867" t="s">
        <v>1230</v>
      </c>
      <c r="F559" s="750"/>
      <c r="G559" s="932"/>
    </row>
    <row r="560" spans="1:8">
      <c r="C560" s="600"/>
      <c r="D560" s="832" t="s">
        <v>555</v>
      </c>
      <c r="E560" s="865" t="s">
        <v>1231</v>
      </c>
      <c r="F560" s="750"/>
      <c r="G560" s="754"/>
    </row>
    <row r="561" spans="2:8" ht="15" thickBot="1">
      <c r="C561" s="600"/>
      <c r="D561" s="938"/>
      <c r="E561" s="866"/>
      <c r="F561" s="939"/>
      <c r="G561" s="940"/>
      <c r="H561" s="749"/>
    </row>
    <row r="562" spans="2:8">
      <c r="C562" s="937" t="s">
        <v>459</v>
      </c>
      <c r="D562" s="832" t="s">
        <v>555</v>
      </c>
      <c r="E562" s="1632" t="s">
        <v>1246</v>
      </c>
      <c r="F562" s="1632"/>
      <c r="G562" s="1632"/>
    </row>
    <row r="563" spans="2:8">
      <c r="B563" s="476" t="s">
        <v>18</v>
      </c>
      <c r="C563" s="524" t="s">
        <v>1232</v>
      </c>
      <c r="E563" s="750"/>
      <c r="F563" s="750"/>
      <c r="G563" s="754"/>
    </row>
    <row r="564" spans="2:8">
      <c r="C564" s="832" t="s">
        <v>1233</v>
      </c>
      <c r="E564" s="1638"/>
      <c r="F564" s="1638"/>
    </row>
    <row r="565" spans="2:8">
      <c r="C565" s="600"/>
      <c r="D565" t="s">
        <v>555</v>
      </c>
      <c r="E565" s="835" t="s">
        <v>1234</v>
      </c>
      <c r="F565" s="834"/>
      <c r="G565" s="535"/>
    </row>
    <row r="566" spans="2:8">
      <c r="C566" s="600"/>
      <c r="D566" s="749"/>
      <c r="E566" s="1639"/>
      <c r="F566" s="1639"/>
      <c r="G566" s="933">
        <v>2</v>
      </c>
    </row>
    <row r="567" spans="2:8">
      <c r="C567" s="756"/>
      <c r="D567" t="s">
        <v>555</v>
      </c>
      <c r="E567" s="934" t="s">
        <v>1235</v>
      </c>
      <c r="F567" s="934"/>
      <c r="G567" s="533"/>
    </row>
    <row r="568" spans="2:8">
      <c r="C568" s="756"/>
      <c r="D568" s="832" t="s">
        <v>555</v>
      </c>
      <c r="E568" s="1632" t="s">
        <v>1236</v>
      </c>
      <c r="F568" s="1632"/>
      <c r="G568" s="1632"/>
    </row>
    <row r="569" spans="2:8">
      <c r="B569" s="520"/>
      <c r="C569" s="758"/>
      <c r="E569" s="757"/>
      <c r="F569" s="757"/>
      <c r="G569" s="533"/>
    </row>
    <row r="570" spans="2:8">
      <c r="C570" s="935" t="s">
        <v>1237</v>
      </c>
      <c r="E570" s="757"/>
      <c r="F570" s="757"/>
      <c r="G570" s="533"/>
    </row>
    <row r="571" spans="2:8">
      <c r="C571" s="758"/>
      <c r="D571" s="601" t="s">
        <v>555</v>
      </c>
      <c r="E571" s="1633" t="s">
        <v>1238</v>
      </c>
      <c r="F571" s="1633"/>
      <c r="G571" s="1633"/>
      <c r="H571" s="1633"/>
    </row>
    <row r="572" spans="2:8">
      <c r="C572" s="756"/>
      <c r="D572" s="601" t="s">
        <v>555</v>
      </c>
      <c r="E572" s="1632" t="s">
        <v>1239</v>
      </c>
      <c r="F572" s="1632"/>
      <c r="G572" s="1632"/>
    </row>
    <row r="573" spans="2:8">
      <c r="C573" s="600"/>
      <c r="D573" s="601"/>
      <c r="E573" s="760"/>
      <c r="F573" s="536"/>
      <c r="G573" s="759"/>
      <c r="H573" s="536"/>
    </row>
    <row r="574" spans="2:8">
      <c r="C574" s="832" t="s">
        <v>1240</v>
      </c>
      <c r="D574" s="601"/>
      <c r="E574" s="760"/>
      <c r="F574" s="536"/>
      <c r="G574" s="759"/>
      <c r="H574" s="536"/>
    </row>
    <row r="575" spans="2:8">
      <c r="C575" s="600"/>
      <c r="D575" s="601" t="s">
        <v>555</v>
      </c>
      <c r="E575" s="936" t="s">
        <v>1241</v>
      </c>
      <c r="F575" s="536"/>
      <c r="G575" s="761"/>
      <c r="H575" s="749"/>
    </row>
    <row r="576" spans="2:8">
      <c r="D576" s="601" t="s">
        <v>555</v>
      </c>
      <c r="E576" s="524" t="s">
        <v>1242</v>
      </c>
      <c r="G576" s="658"/>
    </row>
    <row r="577" spans="2:8">
      <c r="G577" s="600"/>
    </row>
    <row r="578" spans="2:8">
      <c r="C578" s="832" t="s">
        <v>1243</v>
      </c>
    </row>
    <row r="579" spans="2:8">
      <c r="D579" s="601" t="s">
        <v>555</v>
      </c>
      <c r="E579" s="832" t="s">
        <v>1245</v>
      </c>
    </row>
    <row r="580" spans="2:8">
      <c r="D580" s="601" t="s">
        <v>555</v>
      </c>
      <c r="E580" s="524" t="s">
        <v>1244</v>
      </c>
    </row>
    <row r="581" spans="2:8" ht="15" thickBot="1">
      <c r="D581" s="523"/>
      <c r="E581" s="523"/>
      <c r="F581" s="523"/>
      <c r="G581" s="523"/>
    </row>
    <row r="582" spans="2:8">
      <c r="C582" s="937" t="s">
        <v>459</v>
      </c>
      <c r="D582" s="941" t="s">
        <v>555</v>
      </c>
      <c r="E582" s="1637">
        <v>3394048</v>
      </c>
      <c r="F582" s="1637"/>
      <c r="G582" s="1637"/>
      <c r="H582" s="749"/>
    </row>
    <row r="583" spans="2:8">
      <c r="D583" s="749"/>
      <c r="E583" s="749"/>
      <c r="F583" s="749"/>
      <c r="G583" s="749"/>
      <c r="H583" s="749"/>
    </row>
    <row r="584" spans="2:8">
      <c r="B584" s="476" t="s">
        <v>73</v>
      </c>
      <c r="C584" s="832" t="s">
        <v>1250</v>
      </c>
    </row>
    <row r="585" spans="2:8">
      <c r="C585" s="833" t="s">
        <v>1249</v>
      </c>
    </row>
    <row r="586" spans="2:8">
      <c r="C586" s="833" t="s">
        <v>1248</v>
      </c>
    </row>
    <row r="587" spans="2:8">
      <c r="C587" s="832" t="s">
        <v>1247</v>
      </c>
    </row>
    <row r="593" spans="1:8" ht="18">
      <c r="A593" s="1625" t="s">
        <v>1220</v>
      </c>
      <c r="B593" s="1625"/>
      <c r="C593" s="1625"/>
      <c r="D593" s="1625"/>
      <c r="E593" s="1625"/>
      <c r="F593" s="1625"/>
      <c r="G593" s="1625"/>
      <c r="H593" s="1625"/>
    </row>
    <row r="594" spans="1:8" ht="15.6">
      <c r="A594" s="1626" t="s">
        <v>1409</v>
      </c>
      <c r="B594" s="1626"/>
      <c r="C594" s="1626"/>
      <c r="D594" s="1626"/>
      <c r="E594" s="1626"/>
      <c r="F594" s="1626"/>
      <c r="G594" s="1626"/>
      <c r="H594" s="1626"/>
    </row>
    <row r="595" spans="1:8" ht="15.6">
      <c r="A595" s="1626"/>
      <c r="B595" s="1626"/>
      <c r="C595" s="1626"/>
      <c r="D595" s="1626"/>
      <c r="E595" s="1626"/>
      <c r="F595" s="1626"/>
      <c r="G595" s="1626"/>
      <c r="H595" s="1626"/>
    </row>
    <row r="596" spans="1:8">
      <c r="B596" s="476"/>
      <c r="C596" s="524"/>
      <c r="E596" s="1634"/>
      <c r="F596" s="1634"/>
    </row>
    <row r="597" spans="1:8">
      <c r="C597" s="832"/>
      <c r="E597" s="1641"/>
      <c r="F597" s="1636"/>
      <c r="G597" s="1636"/>
    </row>
    <row r="598" spans="1:8">
      <c r="C598" s="833" t="s">
        <v>1410</v>
      </c>
      <c r="D598" t="s">
        <v>555</v>
      </c>
      <c r="E598" s="1640">
        <v>381780</v>
      </c>
      <c r="F598" s="1640"/>
      <c r="G598" s="1640"/>
      <c r="H598" s="532"/>
    </row>
    <row r="599" spans="1:8">
      <c r="C599" s="833" t="s">
        <v>1411</v>
      </c>
      <c r="D599" t="s">
        <v>555</v>
      </c>
      <c r="E599" s="1640">
        <v>763560</v>
      </c>
      <c r="F599" s="1640"/>
      <c r="G599" s="1640"/>
    </row>
    <row r="600" spans="1:8">
      <c r="C600" s="833" t="s">
        <v>1412</v>
      </c>
      <c r="D600" t="s">
        <v>555</v>
      </c>
      <c r="E600" s="1640">
        <v>350000</v>
      </c>
      <c r="F600" s="1640"/>
      <c r="G600" s="1640"/>
    </row>
    <row r="601" spans="1:8">
      <c r="C601" s="832"/>
      <c r="E601" s="865"/>
      <c r="F601" s="750"/>
      <c r="G601" s="932"/>
    </row>
    <row r="602" spans="1:8" ht="18">
      <c r="A602" s="1625" t="s">
        <v>1220</v>
      </c>
      <c r="B602" s="1625"/>
      <c r="C602" s="1625"/>
      <c r="D602" s="1625"/>
      <c r="E602" s="1625"/>
      <c r="F602" s="1625"/>
      <c r="G602" s="1625"/>
      <c r="H602" s="1625"/>
    </row>
    <row r="603" spans="1:8" ht="15.6">
      <c r="A603" s="1626" t="s">
        <v>1408</v>
      </c>
      <c r="B603" s="1626"/>
      <c r="C603" s="1626"/>
      <c r="D603" s="1626"/>
      <c r="E603" s="1626"/>
      <c r="F603" s="1626"/>
      <c r="G603" s="1626"/>
      <c r="H603" s="1626"/>
    </row>
    <row r="604" spans="1:8">
      <c r="C604" s="600"/>
      <c r="E604" s="865"/>
      <c r="F604" s="750"/>
      <c r="G604" s="932"/>
    </row>
    <row r="605" spans="1:8">
      <c r="C605" s="832" t="s">
        <v>1413</v>
      </c>
      <c r="E605" s="865"/>
      <c r="F605" s="750"/>
      <c r="G605" s="932"/>
    </row>
    <row r="606" spans="1:8">
      <c r="C606" s="833" t="s">
        <v>1414</v>
      </c>
      <c r="D606" s="832" t="s">
        <v>555</v>
      </c>
      <c r="E606" s="867"/>
      <c r="F606" s="750"/>
      <c r="G606" s="932"/>
    </row>
    <row r="607" spans="1:8">
      <c r="C607" s="832" t="s">
        <v>1416</v>
      </c>
      <c r="D607" s="832" t="s">
        <v>555</v>
      </c>
      <c r="E607" s="865" t="s">
        <v>1415</v>
      </c>
      <c r="F607" s="750"/>
      <c r="G607" s="754"/>
    </row>
    <row r="608" spans="1:8">
      <c r="C608" s="832" t="s">
        <v>1417</v>
      </c>
      <c r="D608" s="941"/>
      <c r="E608" s="966"/>
      <c r="F608" s="967"/>
      <c r="G608" s="968"/>
      <c r="H608" s="749"/>
    </row>
    <row r="609" spans="2:8">
      <c r="C609" s="937"/>
      <c r="D609" s="832"/>
      <c r="E609" s="1632"/>
      <c r="F609" s="1632"/>
      <c r="G609" s="1632"/>
    </row>
    <row r="610" spans="2:8">
      <c r="B610" s="476"/>
      <c r="C610" s="524"/>
      <c r="E610" s="750"/>
      <c r="F610" s="750"/>
      <c r="G610" s="754"/>
    </row>
    <row r="611" spans="2:8">
      <c r="C611" s="832" t="s">
        <v>1418</v>
      </c>
      <c r="E611" s="1638"/>
      <c r="F611" s="1638"/>
    </row>
    <row r="612" spans="2:8">
      <c r="C612" s="832" t="s">
        <v>1419</v>
      </c>
      <c r="D612" t="s">
        <v>555</v>
      </c>
      <c r="E612" s="835" t="s">
        <v>1234</v>
      </c>
      <c r="F612" s="834"/>
      <c r="G612" s="535"/>
    </row>
    <row r="613" spans="2:8">
      <c r="C613" s="600"/>
      <c r="D613" s="749"/>
      <c r="E613" s="1639"/>
      <c r="F613" s="1639"/>
      <c r="G613" s="933">
        <v>2</v>
      </c>
    </row>
    <row r="614" spans="2:8">
      <c r="C614" s="756"/>
      <c r="D614" t="s">
        <v>555</v>
      </c>
      <c r="E614" s="934" t="s">
        <v>1235</v>
      </c>
      <c r="F614" s="934"/>
      <c r="G614" s="533"/>
    </row>
    <row r="615" spans="2:8">
      <c r="C615" s="756"/>
      <c r="D615" s="832" t="s">
        <v>555</v>
      </c>
      <c r="E615" s="1632" t="s">
        <v>1236</v>
      </c>
      <c r="F615" s="1632"/>
      <c r="G615" s="1632"/>
    </row>
    <row r="616" spans="2:8">
      <c r="B616" s="520"/>
      <c r="C616" s="758"/>
      <c r="E616" s="757"/>
      <c r="F616" s="757"/>
      <c r="G616" s="533"/>
    </row>
    <row r="617" spans="2:8">
      <c r="C617" s="935" t="s">
        <v>1237</v>
      </c>
      <c r="E617" s="757"/>
      <c r="F617" s="757"/>
      <c r="G617" s="533"/>
    </row>
    <row r="618" spans="2:8">
      <c r="C618" s="758"/>
      <c r="D618" s="601" t="s">
        <v>555</v>
      </c>
      <c r="E618" s="1633" t="s">
        <v>1238</v>
      </c>
      <c r="F618" s="1633"/>
      <c r="G618" s="1633"/>
      <c r="H618" s="1633"/>
    </row>
    <row r="619" spans="2:8">
      <c r="C619" s="756"/>
      <c r="D619" s="601" t="s">
        <v>555</v>
      </c>
      <c r="E619" s="1632" t="s">
        <v>1239</v>
      </c>
      <c r="F619" s="1632"/>
      <c r="G619" s="1632"/>
    </row>
    <row r="620" spans="2:8">
      <c r="C620" s="600"/>
      <c r="D620" s="601"/>
      <c r="E620" s="760"/>
      <c r="F620" s="536"/>
      <c r="G620" s="759"/>
      <c r="H620" s="536"/>
    </row>
    <row r="621" spans="2:8">
      <c r="C621" s="832" t="s">
        <v>1240</v>
      </c>
      <c r="D621" s="601"/>
      <c r="E621" s="760"/>
      <c r="F621" s="536"/>
      <c r="G621" s="759"/>
      <c r="H621" s="536"/>
    </row>
    <row r="622" spans="2:8">
      <c r="C622" s="600"/>
      <c r="D622" s="601" t="s">
        <v>555</v>
      </c>
      <c r="E622" s="936" t="s">
        <v>1241</v>
      </c>
      <c r="F622" s="536"/>
      <c r="G622" s="761"/>
      <c r="H622" s="749"/>
    </row>
    <row r="623" spans="2:8">
      <c r="D623" s="601" t="s">
        <v>555</v>
      </c>
      <c r="E623" s="524" t="s">
        <v>1242</v>
      </c>
      <c r="G623" s="658"/>
    </row>
    <row r="624" spans="2:8">
      <c r="G624" s="600"/>
    </row>
    <row r="625" spans="1:8">
      <c r="C625" s="832" t="s">
        <v>1243</v>
      </c>
    </row>
    <row r="626" spans="1:8">
      <c r="D626" s="601" t="s">
        <v>555</v>
      </c>
      <c r="E626" s="832" t="s">
        <v>1245</v>
      </c>
    </row>
    <row r="627" spans="1:8">
      <c r="D627" s="601" t="s">
        <v>555</v>
      </c>
      <c r="E627" s="524" t="s">
        <v>1244</v>
      </c>
    </row>
    <row r="628" spans="1:8" ht="15" thickBot="1">
      <c r="D628" s="523"/>
      <c r="E628" s="523"/>
      <c r="F628" s="523"/>
      <c r="G628" s="523"/>
    </row>
    <row r="629" spans="1:8">
      <c r="C629" s="937" t="s">
        <v>459</v>
      </c>
      <c r="D629" s="941" t="s">
        <v>555</v>
      </c>
      <c r="E629" s="1637">
        <v>3394048</v>
      </c>
      <c r="F629" s="1637"/>
      <c r="G629" s="1637"/>
      <c r="H629" s="749"/>
    </row>
    <row r="630" spans="1:8">
      <c r="D630" s="749"/>
      <c r="E630" s="749"/>
      <c r="F630" s="749"/>
      <c r="G630" s="749"/>
      <c r="H630" s="749"/>
    </row>
    <row r="631" spans="1:8">
      <c r="B631" s="476" t="s">
        <v>73</v>
      </c>
      <c r="C631" s="832" t="s">
        <v>1250</v>
      </c>
    </row>
    <row r="632" spans="1:8">
      <c r="C632" s="833" t="s">
        <v>1249</v>
      </c>
    </row>
    <row r="633" spans="1:8">
      <c r="C633" s="833" t="s">
        <v>1248</v>
      </c>
    </row>
    <row r="634" spans="1:8">
      <c r="C634" s="832" t="s">
        <v>1247</v>
      </c>
    </row>
    <row r="638" spans="1:8" ht="18">
      <c r="A638" s="1625" t="s">
        <v>1220</v>
      </c>
      <c r="B638" s="1625"/>
      <c r="C638" s="1625"/>
      <c r="D638" s="1625"/>
      <c r="E638" s="1625"/>
      <c r="F638" s="1625"/>
      <c r="G638" s="1625"/>
      <c r="H638" s="1625"/>
    </row>
    <row r="639" spans="1:8" ht="15.6">
      <c r="A639" s="1626" t="s">
        <v>1426</v>
      </c>
      <c r="B639" s="1626"/>
      <c r="C639" s="1626"/>
      <c r="D639" s="1626"/>
      <c r="E639" s="1626"/>
      <c r="F639" s="1626"/>
      <c r="G639" s="1626"/>
      <c r="H639" s="1626"/>
    </row>
    <row r="640" spans="1:8" ht="15.6">
      <c r="A640" s="1626" t="s">
        <v>529</v>
      </c>
      <c r="B640" s="1626"/>
      <c r="C640" s="1626"/>
      <c r="D640" s="1626"/>
      <c r="E640" s="1626"/>
      <c r="F640" s="1626"/>
      <c r="G640" s="1626"/>
      <c r="H640" s="1626"/>
    </row>
    <row r="642" spans="2:8">
      <c r="B642" s="476" t="s">
        <v>12</v>
      </c>
      <c r="C642" s="524" t="s">
        <v>1427</v>
      </c>
      <c r="E642" s="1634"/>
      <c r="F642" s="1634"/>
    </row>
    <row r="643" spans="2:8">
      <c r="C643" s="833" t="s">
        <v>1428</v>
      </c>
      <c r="D643" t="s">
        <v>555</v>
      </c>
      <c r="E643" s="1635" t="s">
        <v>1429</v>
      </c>
      <c r="F643" s="1636"/>
      <c r="G643" s="1636"/>
    </row>
    <row r="644" spans="2:8">
      <c r="C644" s="600"/>
      <c r="D644" t="s">
        <v>555</v>
      </c>
      <c r="E644" s="867" t="s">
        <v>1430</v>
      </c>
      <c r="F644" s="750"/>
      <c r="G644" s="533"/>
      <c r="H644" s="532"/>
    </row>
    <row r="645" spans="2:8">
      <c r="C645" s="600"/>
      <c r="D645" t="s">
        <v>555</v>
      </c>
      <c r="E645" s="865" t="s">
        <v>1431</v>
      </c>
      <c r="F645" s="750"/>
      <c r="G645" s="932"/>
    </row>
    <row r="646" spans="2:8">
      <c r="C646" s="600"/>
      <c r="E646" s="865"/>
      <c r="F646" s="750"/>
      <c r="G646" s="932"/>
    </row>
    <row r="647" spans="2:8">
      <c r="C647" s="833" t="s">
        <v>1432</v>
      </c>
      <c r="D647" t="s">
        <v>555</v>
      </c>
      <c r="E647" s="867" t="s">
        <v>1433</v>
      </c>
      <c r="F647" s="750"/>
      <c r="G647" s="932"/>
    </row>
    <row r="648" spans="2:8">
      <c r="C648" s="600"/>
      <c r="D648" s="832" t="s">
        <v>555</v>
      </c>
      <c r="E648" s="865" t="s">
        <v>1434</v>
      </c>
      <c r="F648" s="750"/>
      <c r="G648" s="932"/>
    </row>
    <row r="649" spans="2:8">
      <c r="C649" s="600"/>
      <c r="E649" s="865"/>
      <c r="F649" s="750"/>
      <c r="G649" s="932"/>
    </row>
    <row r="650" spans="2:8">
      <c r="C650" s="833" t="s">
        <v>1466</v>
      </c>
      <c r="D650" s="832" t="s">
        <v>555</v>
      </c>
      <c r="E650" s="867" t="s">
        <v>1467</v>
      </c>
      <c r="F650" s="750"/>
      <c r="G650" s="932"/>
    </row>
    <row r="651" spans="2:8">
      <c r="C651" s="600"/>
      <c r="D651" s="832" t="s">
        <v>555</v>
      </c>
      <c r="E651" s="865" t="s">
        <v>1435</v>
      </c>
      <c r="F651" s="750"/>
      <c r="G651" s="754"/>
    </row>
    <row r="652" spans="2:8">
      <c r="C652" s="600"/>
      <c r="D652" s="832"/>
      <c r="E652" s="865"/>
      <c r="F652" s="750"/>
      <c r="G652" s="754"/>
    </row>
    <row r="653" spans="2:8">
      <c r="C653" s="833" t="s">
        <v>1436</v>
      </c>
      <c r="D653" s="832" t="s">
        <v>555</v>
      </c>
      <c r="E653" s="867" t="s">
        <v>1468</v>
      </c>
      <c r="F653" s="750"/>
      <c r="G653" s="932"/>
    </row>
    <row r="654" spans="2:8">
      <c r="C654" s="600"/>
      <c r="D654" s="832" t="s">
        <v>555</v>
      </c>
      <c r="E654" s="865" t="s">
        <v>1437</v>
      </c>
      <c r="F654" s="750"/>
      <c r="G654" s="754"/>
    </row>
    <row r="655" spans="2:8">
      <c r="C655" s="600"/>
      <c r="D655" s="832"/>
      <c r="E655" s="865"/>
      <c r="F655" s="750"/>
      <c r="G655" s="754"/>
    </row>
    <row r="656" spans="2:8">
      <c r="C656" s="833" t="s">
        <v>1465</v>
      </c>
      <c r="D656" s="832" t="s">
        <v>555</v>
      </c>
      <c r="E656" s="867" t="s">
        <v>1469</v>
      </c>
      <c r="F656" s="750"/>
      <c r="G656" s="932"/>
    </row>
    <row r="657" spans="2:10">
      <c r="C657" s="600"/>
      <c r="D657" s="832" t="s">
        <v>555</v>
      </c>
      <c r="E657" s="865" t="s">
        <v>1438</v>
      </c>
      <c r="F657" s="750"/>
      <c r="G657" s="754"/>
    </row>
    <row r="658" spans="2:10">
      <c r="C658" s="600"/>
      <c r="D658" s="832"/>
      <c r="E658" s="865"/>
      <c r="F658" s="750"/>
      <c r="G658" s="754"/>
    </row>
    <row r="659" spans="2:10">
      <c r="C659" s="833" t="s">
        <v>1439</v>
      </c>
      <c r="D659" s="832" t="s">
        <v>555</v>
      </c>
      <c r="E659" s="867" t="s">
        <v>1441</v>
      </c>
      <c r="F659" s="750"/>
      <c r="G659" s="932"/>
    </row>
    <row r="660" spans="2:10">
      <c r="C660" s="832" t="s">
        <v>1440</v>
      </c>
      <c r="D660" s="832" t="s">
        <v>555</v>
      </c>
      <c r="E660" s="865" t="s">
        <v>1442</v>
      </c>
      <c r="F660" s="750"/>
      <c r="G660" s="754"/>
    </row>
    <row r="661" spans="2:10" ht="15" thickBot="1">
      <c r="C661" s="600"/>
      <c r="D661" s="832"/>
      <c r="E661" s="865"/>
      <c r="F661" s="750"/>
      <c r="G661" s="754"/>
      <c r="J661" s="523"/>
    </row>
    <row r="662" spans="2:10">
      <c r="C662" s="833" t="s">
        <v>1443</v>
      </c>
      <c r="D662" s="832" t="s">
        <v>555</v>
      </c>
      <c r="E662" s="867" t="s">
        <v>1444</v>
      </c>
      <c r="F662" s="750"/>
      <c r="G662" s="932"/>
    </row>
    <row r="663" spans="2:10">
      <c r="C663" s="832"/>
      <c r="D663" s="832" t="s">
        <v>555</v>
      </c>
      <c r="E663" s="865" t="s">
        <v>1445</v>
      </c>
      <c r="F663" s="750"/>
      <c r="G663" s="754"/>
    </row>
    <row r="664" spans="2:10">
      <c r="C664" s="832"/>
      <c r="D664" s="832"/>
      <c r="E664" s="865"/>
      <c r="F664" s="750"/>
      <c r="G664" s="754"/>
    </row>
    <row r="665" spans="2:10">
      <c r="C665" s="833" t="s">
        <v>1446</v>
      </c>
      <c r="D665" s="832" t="s">
        <v>555</v>
      </c>
      <c r="E665" s="867" t="s">
        <v>1447</v>
      </c>
      <c r="F665" s="750"/>
      <c r="G665" s="932"/>
    </row>
    <row r="666" spans="2:10">
      <c r="C666" s="832"/>
      <c r="D666" s="832" t="s">
        <v>555</v>
      </c>
      <c r="E666" s="865" t="s">
        <v>1448</v>
      </c>
      <c r="F666" s="750"/>
      <c r="G666" s="754"/>
    </row>
    <row r="667" spans="2:10" ht="15" thickBot="1">
      <c r="C667" s="832"/>
      <c r="D667" s="938"/>
      <c r="E667" s="866"/>
      <c r="F667" s="939"/>
      <c r="G667" s="940"/>
      <c r="H667" s="523"/>
    </row>
    <row r="668" spans="2:10">
      <c r="C668" s="836" t="s">
        <v>1450</v>
      </c>
      <c r="D668" s="972" t="s">
        <v>555</v>
      </c>
      <c r="E668" s="865" t="s">
        <v>1449</v>
      </c>
      <c r="F668" s="750"/>
      <c r="G668" s="754"/>
    </row>
    <row r="669" spans="2:10">
      <c r="C669" s="836" t="s">
        <v>1451</v>
      </c>
      <c r="D669" s="972" t="s">
        <v>555</v>
      </c>
      <c r="E669" s="865" t="s">
        <v>1452</v>
      </c>
      <c r="F669" s="750"/>
      <c r="G669" s="754"/>
    </row>
    <row r="670" spans="2:10">
      <c r="C670" s="600"/>
      <c r="D670" s="832"/>
      <c r="E670" s="865"/>
      <c r="F670" s="750"/>
      <c r="G670" s="754"/>
    </row>
    <row r="671" spans="2:10">
      <c r="C671" s="600"/>
      <c r="D671" s="832"/>
      <c r="E671" s="865"/>
      <c r="F671" s="750"/>
      <c r="G671" s="754"/>
    </row>
    <row r="672" spans="2:10">
      <c r="B672" s="476" t="s">
        <v>18</v>
      </c>
      <c r="C672" s="524" t="s">
        <v>643</v>
      </c>
      <c r="E672" s="750"/>
      <c r="F672" s="750"/>
      <c r="G672" s="754"/>
    </row>
    <row r="673" spans="2:8">
      <c r="C673" s="833" t="s">
        <v>1453</v>
      </c>
      <c r="D673" t="s">
        <v>555</v>
      </c>
      <c r="E673" s="835" t="s">
        <v>1455</v>
      </c>
      <c r="F673" s="834"/>
      <c r="G673" s="535"/>
    </row>
    <row r="674" spans="2:8">
      <c r="C674" s="600"/>
      <c r="D674" s="832" t="s">
        <v>555</v>
      </c>
      <c r="E674" s="1632" t="s">
        <v>1454</v>
      </c>
      <c r="F674" s="1632"/>
      <c r="G674" s="1632"/>
    </row>
    <row r="675" spans="2:8">
      <c r="B675" s="520"/>
      <c r="C675" s="758"/>
      <c r="E675" s="757"/>
      <c r="F675" s="757"/>
      <c r="G675" s="533"/>
    </row>
    <row r="676" spans="2:8">
      <c r="C676" s="833" t="s">
        <v>1456</v>
      </c>
      <c r="D676" s="601" t="s">
        <v>555</v>
      </c>
      <c r="E676" s="1633" t="s">
        <v>1458</v>
      </c>
      <c r="F676" s="1633"/>
      <c r="G676" s="1633"/>
      <c r="H676" s="1633"/>
    </row>
    <row r="677" spans="2:8">
      <c r="C677" s="935" t="s">
        <v>1457</v>
      </c>
      <c r="D677" s="601" t="s">
        <v>555</v>
      </c>
      <c r="E677" s="1633" t="s">
        <v>1459</v>
      </c>
      <c r="F677" s="1633"/>
      <c r="G677" s="1633"/>
      <c r="H677" s="1633"/>
    </row>
    <row r="678" spans="2:8">
      <c r="C678" s="836" t="s">
        <v>1461</v>
      </c>
      <c r="D678" s="601" t="s">
        <v>555</v>
      </c>
      <c r="E678" s="1632" t="s">
        <v>1460</v>
      </c>
      <c r="F678" s="1632"/>
      <c r="G678" s="1632"/>
    </row>
    <row r="679" spans="2:8" ht="15" thickBot="1">
      <c r="D679" s="523"/>
      <c r="E679" s="523"/>
      <c r="F679" s="523"/>
      <c r="G679" s="523"/>
      <c r="H679" s="523"/>
    </row>
    <row r="680" spans="2:8">
      <c r="C680" s="836" t="s">
        <v>1462</v>
      </c>
      <c r="D680" s="601" t="s">
        <v>555</v>
      </c>
      <c r="E680" s="1632" t="s">
        <v>1463</v>
      </c>
      <c r="F680" s="1632"/>
      <c r="G680" s="1632"/>
    </row>
    <row r="684" spans="2:8">
      <c r="C684" s="529" t="s">
        <v>1485</v>
      </c>
    </row>
    <row r="685" spans="2:8">
      <c r="C685" s="832" t="s">
        <v>1490</v>
      </c>
    </row>
    <row r="686" spans="2:8">
      <c r="C686" s="832" t="s">
        <v>1491</v>
      </c>
    </row>
    <row r="687" spans="2:8">
      <c r="C687" s="832" t="s">
        <v>1493</v>
      </c>
      <c r="D687" s="832" t="s">
        <v>555</v>
      </c>
      <c r="E687" s="832" t="s">
        <v>1486</v>
      </c>
    </row>
    <row r="688" spans="2:8">
      <c r="E688" s="832" t="s">
        <v>1487</v>
      </c>
      <c r="F688" s="520">
        <v>2</v>
      </c>
      <c r="G688" s="832" t="s">
        <v>1488</v>
      </c>
    </row>
    <row r="689" spans="1:9">
      <c r="D689" s="832" t="s">
        <v>555</v>
      </c>
      <c r="E689" s="524" t="s">
        <v>1489</v>
      </c>
    </row>
    <row r="691" spans="1:9">
      <c r="C691" s="832" t="s">
        <v>1492</v>
      </c>
      <c r="D691" s="832" t="s">
        <v>555</v>
      </c>
      <c r="E691" s="832" t="s">
        <v>1495</v>
      </c>
    </row>
    <row r="692" spans="1:9">
      <c r="G692" s="832" t="s">
        <v>1494</v>
      </c>
    </row>
    <row r="694" spans="1:9">
      <c r="C694" s="832" t="s">
        <v>1498</v>
      </c>
      <c r="D694" s="832" t="s">
        <v>555</v>
      </c>
      <c r="E694" s="832" t="s">
        <v>1497</v>
      </c>
    </row>
    <row r="695" spans="1:9">
      <c r="C695" s="832" t="s">
        <v>1499</v>
      </c>
      <c r="D695" s="832"/>
    </row>
    <row r="697" spans="1:9" ht="15" thickBot="1">
      <c r="C697" s="832" t="s">
        <v>1496</v>
      </c>
      <c r="D697" s="938" t="s">
        <v>555</v>
      </c>
      <c r="E697" s="938" t="s">
        <v>1500</v>
      </c>
      <c r="F697" s="938"/>
      <c r="G697" s="938"/>
      <c r="H697" s="938"/>
      <c r="I697" s="938"/>
    </row>
    <row r="698" spans="1:9">
      <c r="D698" s="832"/>
      <c r="E698" s="524"/>
    </row>
    <row r="699" spans="1:9">
      <c r="C699" s="937" t="s">
        <v>1502</v>
      </c>
      <c r="D699" s="832" t="s">
        <v>555</v>
      </c>
      <c r="E699" s="524" t="s">
        <v>1501</v>
      </c>
    </row>
    <row r="703" spans="1:9" ht="18">
      <c r="A703" s="1625" t="s">
        <v>1220</v>
      </c>
      <c r="B703" s="1625"/>
      <c r="C703" s="1625"/>
      <c r="D703" s="1625"/>
      <c r="E703" s="1625"/>
      <c r="F703" s="1625"/>
      <c r="G703" s="1625"/>
      <c r="H703" s="1625"/>
    </row>
    <row r="704" spans="1:9" ht="15.6">
      <c r="A704" s="1626" t="s">
        <v>1564</v>
      </c>
      <c r="B704" s="1626"/>
      <c r="C704" s="1626"/>
      <c r="D704" s="1626"/>
      <c r="E704" s="1626"/>
      <c r="F704" s="1626"/>
      <c r="G704" s="1626"/>
      <c r="H704" s="1626"/>
    </row>
    <row r="705" spans="1:8" ht="15.6">
      <c r="A705" s="1626" t="s">
        <v>1573</v>
      </c>
      <c r="B705" s="1626"/>
      <c r="C705" s="1626"/>
      <c r="D705" s="1626"/>
      <c r="E705" s="1626"/>
      <c r="F705" s="1626"/>
      <c r="G705" s="1626"/>
      <c r="H705" s="1626"/>
    </row>
    <row r="708" spans="1:8">
      <c r="B708">
        <v>1</v>
      </c>
      <c r="C708" s="833" t="s">
        <v>1565</v>
      </c>
      <c r="D708" s="832" t="s">
        <v>555</v>
      </c>
      <c r="E708" s="1628">
        <v>600000</v>
      </c>
      <c r="F708" s="1628"/>
    </row>
    <row r="709" spans="1:8">
      <c r="C709" s="833" t="s">
        <v>1566</v>
      </c>
      <c r="D709" s="832" t="s">
        <v>555</v>
      </c>
      <c r="E709" s="995" t="s">
        <v>1571</v>
      </c>
      <c r="F709" s="987"/>
      <c r="G709" s="532"/>
    </row>
    <row r="710" spans="1:8">
      <c r="C710" s="836"/>
      <c r="D710" s="832" t="s">
        <v>555</v>
      </c>
      <c r="E710" s="1628">
        <v>150000</v>
      </c>
      <c r="F710" s="1628"/>
    </row>
    <row r="711" spans="1:8">
      <c r="C711" s="836" t="s">
        <v>1567</v>
      </c>
      <c r="D711" s="832" t="s">
        <v>555</v>
      </c>
      <c r="E711" s="832" t="s">
        <v>1572</v>
      </c>
    </row>
    <row r="712" spans="1:8">
      <c r="D712" s="832" t="s">
        <v>555</v>
      </c>
      <c r="E712" s="1631">
        <v>750000</v>
      </c>
      <c r="F712" s="1631"/>
    </row>
    <row r="713" spans="1:8">
      <c r="C713" s="836"/>
      <c r="D713" s="832"/>
      <c r="E713" s="1631"/>
      <c r="F713" s="1631"/>
    </row>
    <row r="715" spans="1:8">
      <c r="B715">
        <v>2</v>
      </c>
      <c r="C715" s="833" t="s">
        <v>1568</v>
      </c>
      <c r="D715" s="832" t="s">
        <v>555</v>
      </c>
      <c r="E715" s="1628">
        <v>775000</v>
      </c>
      <c r="F715" s="1628"/>
    </row>
    <row r="716" spans="1:8">
      <c r="C716" s="833" t="s">
        <v>1566</v>
      </c>
      <c r="D716" s="832" t="s">
        <v>555</v>
      </c>
      <c r="E716" s="995" t="s">
        <v>1569</v>
      </c>
      <c r="F716" s="987"/>
    </row>
    <row r="717" spans="1:8">
      <c r="C717" s="836"/>
      <c r="D717" s="832" t="s">
        <v>555</v>
      </c>
      <c r="E717" s="1628">
        <v>193750</v>
      </c>
      <c r="F717" s="1628"/>
    </row>
    <row r="718" spans="1:8">
      <c r="C718" s="836" t="s">
        <v>1567</v>
      </c>
      <c r="D718" s="832" t="s">
        <v>555</v>
      </c>
      <c r="E718" s="832" t="s">
        <v>1570</v>
      </c>
    </row>
    <row r="719" spans="1:8">
      <c r="D719" s="832" t="s">
        <v>555</v>
      </c>
      <c r="E719" s="1628">
        <v>968750</v>
      </c>
      <c r="F719" s="1628"/>
    </row>
    <row r="720" spans="1:8">
      <c r="C720" s="836" t="s">
        <v>30</v>
      </c>
      <c r="D720" s="832" t="s">
        <v>555</v>
      </c>
      <c r="E720" s="1631">
        <v>975000</v>
      </c>
      <c r="F720" s="1631"/>
    </row>
    <row r="728" spans="1:8" ht="18">
      <c r="A728" s="1625" t="s">
        <v>1220</v>
      </c>
      <c r="B728" s="1625"/>
      <c r="C728" s="1625"/>
      <c r="D728" s="1625"/>
      <c r="E728" s="1625"/>
      <c r="F728" s="1625"/>
      <c r="G728" s="1625"/>
      <c r="H728" s="1625"/>
    </row>
    <row r="729" spans="1:8" ht="15.6">
      <c r="A729" s="1626" t="s">
        <v>1719</v>
      </c>
      <c r="B729" s="1626"/>
      <c r="C729" s="1626"/>
      <c r="D729" s="1626"/>
      <c r="E729" s="1626"/>
      <c r="F729" s="1626"/>
      <c r="G729" s="1626"/>
      <c r="H729" s="1626"/>
    </row>
    <row r="730" spans="1:8" ht="15.6">
      <c r="A730" s="1626" t="s">
        <v>1720</v>
      </c>
      <c r="B730" s="1626"/>
      <c r="C730" s="1626"/>
      <c r="D730" s="1626"/>
      <c r="E730" s="1626"/>
      <c r="F730" s="1626"/>
      <c r="G730" s="1626"/>
      <c r="H730" s="1626"/>
    </row>
    <row r="733" spans="1:8">
      <c r="B733">
        <v>1</v>
      </c>
      <c r="C733" s="833" t="s">
        <v>1721</v>
      </c>
      <c r="D733" s="832"/>
      <c r="E733" s="1628"/>
      <c r="F733" s="1628"/>
    </row>
    <row r="734" spans="1:8">
      <c r="C734" s="833" t="s">
        <v>1722</v>
      </c>
      <c r="D734" s="832" t="s">
        <v>555</v>
      </c>
      <c r="E734" s="995" t="s">
        <v>1723</v>
      </c>
      <c r="F734" s="987"/>
      <c r="G734" s="532"/>
    </row>
    <row r="735" spans="1:8">
      <c r="C735" s="836"/>
      <c r="D735" s="832" t="s">
        <v>555</v>
      </c>
      <c r="E735" s="1627" t="s">
        <v>1724</v>
      </c>
      <c r="F735" s="1628"/>
    </row>
    <row r="736" spans="1:8">
      <c r="C736" s="833" t="s">
        <v>1725</v>
      </c>
      <c r="D736" s="832" t="s">
        <v>555</v>
      </c>
      <c r="E736" s="832" t="s">
        <v>1726</v>
      </c>
    </row>
    <row r="737" spans="2:6">
      <c r="D737" s="832" t="s">
        <v>555</v>
      </c>
      <c r="E737" s="1627" t="s">
        <v>1727</v>
      </c>
      <c r="F737" s="1627"/>
    </row>
    <row r="738" spans="2:6">
      <c r="C738" s="833" t="s">
        <v>1738</v>
      </c>
      <c r="D738" s="832" t="s">
        <v>555</v>
      </c>
      <c r="E738" s="1063" t="s">
        <v>1728</v>
      </c>
      <c r="F738" s="1062"/>
    </row>
    <row r="739" spans="2:6">
      <c r="C739" s="833"/>
      <c r="D739" s="832" t="s">
        <v>555</v>
      </c>
      <c r="E739" s="1063" t="s">
        <v>1729</v>
      </c>
      <c r="F739" s="1062"/>
    </row>
    <row r="740" spans="2:6">
      <c r="C740" s="832" t="s">
        <v>1730</v>
      </c>
      <c r="D740" s="832" t="s">
        <v>555</v>
      </c>
      <c r="E740" s="1063" t="s">
        <v>1731</v>
      </c>
      <c r="F740" s="1062"/>
    </row>
    <row r="741" spans="2:6">
      <c r="C741" s="833"/>
      <c r="D741" s="832" t="s">
        <v>555</v>
      </c>
      <c r="E741" s="1631">
        <v>807765</v>
      </c>
      <c r="F741" s="1631"/>
    </row>
    <row r="742" spans="2:6">
      <c r="C742" s="833"/>
      <c r="D742" s="832"/>
      <c r="E742" s="1062"/>
      <c r="F742" s="1062"/>
    </row>
    <row r="743" spans="2:6">
      <c r="B743">
        <v>2</v>
      </c>
      <c r="C743" s="833" t="s">
        <v>1732</v>
      </c>
      <c r="D743" s="832"/>
      <c r="E743" s="1628"/>
      <c r="F743" s="1628"/>
    </row>
    <row r="744" spans="2:6">
      <c r="C744" s="833" t="s">
        <v>1722</v>
      </c>
      <c r="D744" s="832" t="s">
        <v>555</v>
      </c>
      <c r="E744" s="995" t="s">
        <v>1733</v>
      </c>
      <c r="F744" s="987"/>
    </row>
    <row r="745" spans="2:6">
      <c r="C745" s="836"/>
      <c r="D745" s="832" t="s">
        <v>555</v>
      </c>
      <c r="E745" s="1627" t="s">
        <v>1734</v>
      </c>
      <c r="F745" s="1628"/>
    </row>
    <row r="746" spans="2:6">
      <c r="C746" s="833" t="s">
        <v>1725</v>
      </c>
      <c r="D746" s="832" t="s">
        <v>555</v>
      </c>
      <c r="E746" s="832" t="s">
        <v>1735</v>
      </c>
    </row>
    <row r="747" spans="2:6">
      <c r="D747" s="832" t="s">
        <v>555</v>
      </c>
      <c r="E747" s="1627" t="s">
        <v>1736</v>
      </c>
      <c r="F747" s="1627"/>
    </row>
    <row r="748" spans="2:6">
      <c r="C748" s="833" t="s">
        <v>1737</v>
      </c>
      <c r="D748" s="832" t="s">
        <v>555</v>
      </c>
      <c r="E748" s="1063" t="s">
        <v>1739</v>
      </c>
      <c r="F748" s="1062"/>
    </row>
    <row r="749" spans="2:6">
      <c r="C749" s="833"/>
      <c r="D749" s="832" t="s">
        <v>555</v>
      </c>
      <c r="E749" s="1063" t="s">
        <v>1740</v>
      </c>
      <c r="F749" s="1062"/>
    </row>
    <row r="750" spans="2:6">
      <c r="C750" s="832" t="s">
        <v>1742</v>
      </c>
      <c r="D750" s="832" t="s">
        <v>555</v>
      </c>
      <c r="E750" s="1063" t="s">
        <v>1741</v>
      </c>
      <c r="F750" s="1062"/>
    </row>
    <row r="751" spans="2:6">
      <c r="D751" s="832" t="s">
        <v>555</v>
      </c>
      <c r="E751" s="1631">
        <v>908735</v>
      </c>
      <c r="F751" s="1631"/>
    </row>
    <row r="755" spans="1:8" ht="18">
      <c r="A755" s="1625" t="s">
        <v>1220</v>
      </c>
      <c r="B755" s="1625"/>
      <c r="C755" s="1625"/>
      <c r="D755" s="1625"/>
      <c r="E755" s="1625"/>
      <c r="F755" s="1625"/>
      <c r="G755" s="1625"/>
      <c r="H755" s="1625"/>
    </row>
    <row r="756" spans="1:8" ht="15.6">
      <c r="A756" s="1626" t="s">
        <v>1823</v>
      </c>
      <c r="B756" s="1626"/>
      <c r="C756" s="1626"/>
      <c r="D756" s="1626"/>
      <c r="E756" s="1626"/>
      <c r="F756" s="1626"/>
      <c r="G756" s="1626"/>
      <c r="H756" s="1626"/>
    </row>
    <row r="757" spans="1:8" ht="15.6">
      <c r="A757" s="1626" t="s">
        <v>1824</v>
      </c>
      <c r="B757" s="1626"/>
      <c r="C757" s="1626"/>
      <c r="D757" s="1626"/>
      <c r="E757" s="1626"/>
      <c r="F757" s="1626"/>
      <c r="G757" s="1626"/>
      <c r="H757" s="1626"/>
    </row>
    <row r="760" spans="1:8">
      <c r="C760" s="832" t="s">
        <v>1825</v>
      </c>
      <c r="D760" s="832" t="s">
        <v>555</v>
      </c>
      <c r="E760" s="1627" t="s">
        <v>1829</v>
      </c>
      <c r="F760" s="1628"/>
    </row>
    <row r="761" spans="1:8">
      <c r="C761" s="833"/>
      <c r="D761" s="832" t="s">
        <v>555</v>
      </c>
      <c r="E761" s="995" t="s">
        <v>1828</v>
      </c>
      <c r="F761" s="987"/>
      <c r="G761" s="532"/>
    </row>
    <row r="762" spans="1:8">
      <c r="C762" s="833"/>
      <c r="D762" s="832"/>
      <c r="E762" s="995"/>
      <c r="F762" s="987"/>
      <c r="G762" s="532"/>
    </row>
    <row r="763" spans="1:8">
      <c r="C763" s="832" t="s">
        <v>1826</v>
      </c>
      <c r="D763" s="832" t="s">
        <v>555</v>
      </c>
      <c r="E763" s="1627" t="s">
        <v>1830</v>
      </c>
      <c r="F763" s="1628"/>
    </row>
    <row r="764" spans="1:8">
      <c r="C764" s="833"/>
      <c r="D764" s="832" t="s">
        <v>555</v>
      </c>
      <c r="E764" s="832" t="s">
        <v>1828</v>
      </c>
    </row>
    <row r="765" spans="1:8">
      <c r="C765" s="833"/>
      <c r="D765" s="832"/>
      <c r="E765" s="832"/>
    </row>
    <row r="766" spans="1:8">
      <c r="C766" s="832" t="s">
        <v>1827</v>
      </c>
      <c r="D766" s="832" t="s">
        <v>555</v>
      </c>
      <c r="E766" s="1627" t="s">
        <v>1831</v>
      </c>
      <c r="F766" s="1627"/>
    </row>
    <row r="767" spans="1:8">
      <c r="C767" s="833"/>
      <c r="D767" s="832" t="s">
        <v>555</v>
      </c>
      <c r="E767" s="1063" t="s">
        <v>1832</v>
      </c>
      <c r="F767" s="1062"/>
    </row>
    <row r="768" spans="1:8">
      <c r="C768" s="833"/>
      <c r="D768" s="832"/>
      <c r="E768" s="1063"/>
      <c r="F768" s="1062"/>
    </row>
    <row r="769" spans="1:8">
      <c r="C769" s="832" t="s">
        <v>1833</v>
      </c>
      <c r="D769" s="832" t="s">
        <v>555</v>
      </c>
      <c r="E769" s="1063" t="s">
        <v>1834</v>
      </c>
      <c r="F769" s="1062"/>
    </row>
    <row r="770" spans="1:8">
      <c r="C770" s="833"/>
      <c r="D770" s="832" t="s">
        <v>555</v>
      </c>
      <c r="E770" s="1631" t="s">
        <v>1835</v>
      </c>
      <c r="F770" s="1631"/>
    </row>
    <row r="771" spans="1:8">
      <c r="C771" s="833"/>
      <c r="D771" s="832"/>
      <c r="E771" s="1062"/>
      <c r="F771" s="1062"/>
    </row>
    <row r="772" spans="1:8">
      <c r="C772" s="832" t="s">
        <v>1836</v>
      </c>
      <c r="D772" s="832" t="s">
        <v>555</v>
      </c>
      <c r="E772" s="1627" t="s">
        <v>1837</v>
      </c>
      <c r="F772" s="1627"/>
    </row>
    <row r="773" spans="1:8">
      <c r="C773" s="833"/>
      <c r="D773" s="832" t="s">
        <v>555</v>
      </c>
      <c r="E773" s="1063" t="s">
        <v>1111</v>
      </c>
      <c r="F773" s="1062"/>
    </row>
    <row r="774" spans="1:8">
      <c r="C774" s="836"/>
      <c r="D774" s="832"/>
      <c r="E774" s="1627"/>
      <c r="F774" s="1628"/>
    </row>
    <row r="775" spans="1:8">
      <c r="C775" s="832" t="s">
        <v>1838</v>
      </c>
      <c r="D775" s="832" t="s">
        <v>555</v>
      </c>
      <c r="E775" s="1627" t="s">
        <v>1839</v>
      </c>
      <c r="F775" s="1627"/>
    </row>
    <row r="776" spans="1:8">
      <c r="D776" s="832" t="s">
        <v>555</v>
      </c>
      <c r="E776" s="1063" t="s">
        <v>1840</v>
      </c>
      <c r="F776" s="1062"/>
    </row>
    <row r="777" spans="1:8">
      <c r="C777" s="833"/>
      <c r="D777" s="832"/>
      <c r="E777" s="1063"/>
      <c r="F777" s="1062"/>
    </row>
    <row r="778" spans="1:8">
      <c r="C778" s="832" t="s">
        <v>503</v>
      </c>
      <c r="D778" s="832" t="s">
        <v>555</v>
      </c>
      <c r="E778" s="1063" t="s">
        <v>1841</v>
      </c>
      <c r="F778" s="1062"/>
    </row>
    <row r="779" spans="1:8">
      <c r="C779" s="832"/>
      <c r="D779" s="832"/>
      <c r="E779" s="1063"/>
      <c r="F779" s="1062"/>
    </row>
    <row r="780" spans="1:8">
      <c r="D780" s="832"/>
      <c r="E780" s="1631"/>
      <c r="F780" s="1631"/>
    </row>
    <row r="782" spans="1:8" ht="18">
      <c r="A782" s="1625" t="s">
        <v>1220</v>
      </c>
      <c r="B782" s="1625"/>
      <c r="C782" s="1625"/>
      <c r="D782" s="1625"/>
      <c r="E782" s="1625"/>
      <c r="F782" s="1625"/>
      <c r="G782" s="1625"/>
      <c r="H782" s="1625"/>
    </row>
    <row r="783" spans="1:8" ht="15.6">
      <c r="A783" s="1626" t="s">
        <v>1843</v>
      </c>
      <c r="B783" s="1626"/>
      <c r="C783" s="1626"/>
      <c r="D783" s="1626"/>
      <c r="E783" s="1626"/>
      <c r="F783" s="1626"/>
      <c r="G783" s="1626"/>
      <c r="H783" s="1626"/>
    </row>
    <row r="784" spans="1:8" ht="15.6">
      <c r="A784" s="1626" t="s">
        <v>1844</v>
      </c>
      <c r="B784" s="1626"/>
      <c r="C784" s="1626"/>
      <c r="D784" s="1626"/>
      <c r="E784" s="1626"/>
      <c r="F784" s="1626"/>
      <c r="G784" s="1626"/>
      <c r="H784" s="1626"/>
    </row>
    <row r="787" spans="3:7">
      <c r="C787" s="832" t="s">
        <v>1845</v>
      </c>
      <c r="D787" s="832" t="s">
        <v>555</v>
      </c>
      <c r="E787" s="1627" t="s">
        <v>1846</v>
      </c>
      <c r="F787" s="1628"/>
    </row>
    <row r="788" spans="3:7">
      <c r="C788" s="833"/>
      <c r="D788" s="832"/>
      <c r="E788" s="995"/>
      <c r="F788" s="987"/>
      <c r="G788" s="532"/>
    </row>
    <row r="789" spans="3:7">
      <c r="C789" s="832" t="s">
        <v>1847</v>
      </c>
      <c r="D789" s="832" t="s">
        <v>555</v>
      </c>
      <c r="E789" s="1629" t="s">
        <v>1848</v>
      </c>
      <c r="F789" s="1630"/>
      <c r="G789" s="935" t="s">
        <v>1849</v>
      </c>
    </row>
    <row r="790" spans="3:7">
      <c r="C790" s="832"/>
      <c r="D790" s="832"/>
      <c r="E790" s="1627"/>
      <c r="F790" s="1628"/>
    </row>
    <row r="791" spans="3:7">
      <c r="C791" s="832" t="s">
        <v>459</v>
      </c>
      <c r="D791" s="832" t="s">
        <v>555</v>
      </c>
      <c r="E791" s="1627" t="s">
        <v>1850</v>
      </c>
      <c r="F791" s="1628"/>
    </row>
    <row r="792" spans="3:7">
      <c r="C792" s="833"/>
      <c r="D792" s="832"/>
      <c r="E792" s="832"/>
    </row>
    <row r="793" spans="3:7">
      <c r="C793" s="832" t="s">
        <v>1851</v>
      </c>
      <c r="D793" s="832" t="s">
        <v>555</v>
      </c>
      <c r="E793" s="1629" t="s">
        <v>1852</v>
      </c>
      <c r="F793" s="1629"/>
      <c r="G793" s="832" t="s">
        <v>1849</v>
      </c>
    </row>
    <row r="794" spans="3:7">
      <c r="C794" s="833"/>
      <c r="D794" s="832"/>
      <c r="E794" s="1063"/>
      <c r="F794" s="1062"/>
    </row>
    <row r="795" spans="3:7">
      <c r="C795" s="524" t="s">
        <v>1853</v>
      </c>
      <c r="D795" s="524" t="s">
        <v>555</v>
      </c>
      <c r="E795" s="1631" t="s">
        <v>1854</v>
      </c>
      <c r="F795" s="1631"/>
    </row>
    <row r="796" spans="3:7">
      <c r="C796" s="832"/>
      <c r="D796" s="832"/>
      <c r="E796" s="1063"/>
      <c r="F796" s="1062"/>
    </row>
    <row r="797" spans="3:7">
      <c r="C797" s="833"/>
      <c r="D797" s="832"/>
      <c r="E797" s="1631"/>
      <c r="F797" s="1631"/>
    </row>
    <row r="798" spans="3:7">
      <c r="C798" s="833"/>
      <c r="D798" s="832"/>
      <c r="E798" s="1062" t="s">
        <v>1857</v>
      </c>
      <c r="F798" s="1062"/>
    </row>
    <row r="799" spans="3:7">
      <c r="C799" s="832"/>
      <c r="D799" s="832"/>
      <c r="E799" s="1627" t="s">
        <v>1855</v>
      </c>
      <c r="F799" s="1627"/>
    </row>
    <row r="800" spans="3:7">
      <c r="C800" s="833"/>
      <c r="D800" s="832"/>
      <c r="E800" s="1063"/>
      <c r="F800" s="1062"/>
    </row>
    <row r="801" spans="1:9">
      <c r="C801" s="836"/>
      <c r="D801" s="832"/>
      <c r="E801" s="1627"/>
      <c r="F801" s="1628"/>
    </row>
    <row r="802" spans="1:9">
      <c r="C802" s="832"/>
      <c r="D802" s="832"/>
      <c r="E802" s="1627"/>
      <c r="F802" s="1627"/>
    </row>
    <row r="803" spans="1:9">
      <c r="D803" s="832"/>
      <c r="E803" s="1063" t="s">
        <v>1856</v>
      </c>
      <c r="F803" s="1062"/>
    </row>
    <row r="804" spans="1:9">
      <c r="C804" s="833"/>
      <c r="D804" s="832"/>
      <c r="E804" s="1063"/>
      <c r="F804" s="1062"/>
    </row>
    <row r="805" spans="1:9">
      <c r="C805" s="832"/>
      <c r="D805" s="832"/>
      <c r="E805" s="1063"/>
      <c r="F805" s="1062"/>
    </row>
    <row r="806" spans="1:9">
      <c r="C806" s="832"/>
      <c r="D806" s="832"/>
      <c r="E806" s="1063"/>
      <c r="F806" s="1062"/>
    </row>
    <row r="808" spans="1:9" ht="18">
      <c r="A808" s="1625" t="s">
        <v>1220</v>
      </c>
      <c r="B808" s="1625"/>
      <c r="C808" s="1625"/>
      <c r="D808" s="1625"/>
      <c r="E808" s="1625"/>
      <c r="F808" s="1625"/>
      <c r="G808" s="1625"/>
      <c r="H808" s="1625"/>
      <c r="I808" s="1625"/>
    </row>
    <row r="809" spans="1:9" ht="15.6">
      <c r="A809" s="1626" t="s">
        <v>2096</v>
      </c>
      <c r="B809" s="1626"/>
      <c r="C809" s="1626"/>
      <c r="D809" s="1626"/>
      <c r="E809" s="1626"/>
      <c r="F809" s="1626"/>
      <c r="G809" s="1626"/>
      <c r="H809" s="1626"/>
      <c r="I809" s="1626"/>
    </row>
    <row r="810" spans="1:9" ht="15.6">
      <c r="A810" s="1626" t="s">
        <v>2097</v>
      </c>
      <c r="B810" s="1626"/>
      <c r="C810" s="1626"/>
      <c r="D810" s="1626"/>
      <c r="E810" s="1626"/>
      <c r="F810" s="1626"/>
      <c r="G810" s="1626"/>
      <c r="H810" s="1626"/>
      <c r="I810" s="1626"/>
    </row>
    <row r="812" spans="1:9">
      <c r="B812" s="524">
        <v>1</v>
      </c>
      <c r="C812" s="524" t="s">
        <v>13</v>
      </c>
    </row>
    <row r="813" spans="1:9">
      <c r="C813" s="832" t="s">
        <v>2098</v>
      </c>
      <c r="D813" s="1282">
        <v>0.1</v>
      </c>
      <c r="E813" s="1073" t="s">
        <v>245</v>
      </c>
      <c r="F813" s="1073" t="s">
        <v>82</v>
      </c>
      <c r="G813" s="1280">
        <v>389333</v>
      </c>
      <c r="H813" s="1280">
        <f>G813*D813</f>
        <v>38933.300000000003</v>
      </c>
    </row>
    <row r="814" spans="1:9">
      <c r="C814" s="832" t="s">
        <v>2099</v>
      </c>
      <c r="D814" s="1282">
        <v>1</v>
      </c>
      <c r="E814" s="1073" t="s">
        <v>44</v>
      </c>
      <c r="F814" s="1073" t="s">
        <v>82</v>
      </c>
      <c r="G814" s="1280">
        <v>1464000</v>
      </c>
      <c r="H814" s="1280">
        <f>G814*D814</f>
        <v>1464000</v>
      </c>
    </row>
    <row r="815" spans="1:9">
      <c r="C815" s="832" t="s">
        <v>2100</v>
      </c>
      <c r="D815" s="1282">
        <v>2</v>
      </c>
      <c r="E815" s="1073" t="s">
        <v>44</v>
      </c>
      <c r="F815" s="1073" t="s">
        <v>82</v>
      </c>
      <c r="G815" s="1280">
        <v>254100</v>
      </c>
      <c r="H815" s="1280">
        <f>G815*D815</f>
        <v>508200</v>
      </c>
    </row>
    <row r="816" spans="1:9">
      <c r="G816" s="524"/>
      <c r="H816" s="524" t="s">
        <v>2101</v>
      </c>
      <c r="I816" s="1281">
        <f>SUM(H813:H815)</f>
        <v>2011133.3</v>
      </c>
    </row>
    <row r="818" spans="2:9">
      <c r="B818" s="524">
        <v>2</v>
      </c>
      <c r="C818" s="524" t="s">
        <v>1232</v>
      </c>
    </row>
    <row r="819" spans="2:9">
      <c r="C819" s="832" t="s">
        <v>2102</v>
      </c>
      <c r="D819" s="1282">
        <f>3.14*0.2*2</f>
        <v>1.2560000000000002</v>
      </c>
      <c r="E819" s="1073" t="s">
        <v>245</v>
      </c>
      <c r="F819" s="1073" t="s">
        <v>82</v>
      </c>
      <c r="G819" s="1280">
        <v>53325</v>
      </c>
      <c r="H819" s="1280">
        <f>G819*D819</f>
        <v>66976.200000000012</v>
      </c>
    </row>
    <row r="820" spans="2:9">
      <c r="C820" s="832" t="s">
        <v>2103</v>
      </c>
      <c r="D820" s="1282">
        <f>3.14*0.2*2</f>
        <v>1.2560000000000002</v>
      </c>
      <c r="E820" s="1073" t="s">
        <v>245</v>
      </c>
      <c r="F820" s="1073" t="s">
        <v>82</v>
      </c>
      <c r="G820" s="1280">
        <v>214375</v>
      </c>
      <c r="H820" s="1280">
        <f>G820*D820</f>
        <v>269255.00000000006</v>
      </c>
    </row>
    <row r="821" spans="2:9">
      <c r="C821" s="832" t="s">
        <v>2104</v>
      </c>
      <c r="D821" s="1282">
        <f>3.14*0.2*1.5*2*2</f>
        <v>3.7680000000000007</v>
      </c>
      <c r="E821" s="1073" t="s">
        <v>245</v>
      </c>
      <c r="F821" s="1073" t="s">
        <v>82</v>
      </c>
      <c r="G821" s="1280">
        <v>214375</v>
      </c>
      <c r="H821" s="1280">
        <f>G821*D821</f>
        <v>807765.00000000012</v>
      </c>
    </row>
    <row r="822" spans="2:9">
      <c r="C822" s="832" t="s">
        <v>2105</v>
      </c>
      <c r="D822" s="1282">
        <f>3.14*0.2*3</f>
        <v>1.8840000000000003</v>
      </c>
      <c r="E822" s="1073" t="s">
        <v>245</v>
      </c>
      <c r="F822" s="1073" t="s">
        <v>2107</v>
      </c>
      <c r="G822" s="1280">
        <v>14937.5</v>
      </c>
      <c r="H822" s="1280">
        <f>G822*D822</f>
        <v>28142.250000000004</v>
      </c>
    </row>
    <row r="823" spans="2:9">
      <c r="C823" s="832" t="s">
        <v>2106</v>
      </c>
      <c r="D823" s="1282">
        <v>2.5099999999999998</v>
      </c>
      <c r="E823" s="1073" t="s">
        <v>245</v>
      </c>
      <c r="F823" s="1073" t="s">
        <v>2108</v>
      </c>
      <c r="G823" s="1280">
        <v>46587.5</v>
      </c>
      <c r="H823" s="1280">
        <f>G823*D823</f>
        <v>116934.62499999999</v>
      </c>
    </row>
    <row r="824" spans="2:9">
      <c r="D824" s="1282"/>
      <c r="E824" s="1073"/>
      <c r="H824" s="524" t="s">
        <v>2109</v>
      </c>
      <c r="I824" s="1281">
        <f>SUM(H819:H823)</f>
        <v>1289073.0750000002</v>
      </c>
    </row>
    <row r="825" spans="2:9">
      <c r="H825" s="937" t="s">
        <v>801</v>
      </c>
      <c r="I825" s="1281">
        <f>I824+I816</f>
        <v>3300206.375</v>
      </c>
    </row>
    <row r="826" spans="2:9">
      <c r="H826" s="937" t="s">
        <v>460</v>
      </c>
      <c r="I826" s="1281"/>
    </row>
    <row r="827" spans="2:9">
      <c r="H827" s="937" t="s">
        <v>2058</v>
      </c>
      <c r="I827" s="1281">
        <f>I825+I826</f>
        <v>3300206.375</v>
      </c>
    </row>
    <row r="828" spans="2:9">
      <c r="H828" s="937" t="s">
        <v>2110</v>
      </c>
      <c r="I828" s="1281">
        <v>3300200</v>
      </c>
    </row>
    <row r="836" spans="1:11" ht="18">
      <c r="A836" s="1625" t="s">
        <v>1220</v>
      </c>
      <c r="B836" s="1625"/>
      <c r="C836" s="1625"/>
      <c r="D836" s="1625"/>
      <c r="E836" s="1625"/>
      <c r="F836" s="1625"/>
      <c r="G836" s="1625"/>
      <c r="H836" s="1625"/>
      <c r="I836" s="1625"/>
    </row>
    <row r="837" spans="1:11" ht="15.6">
      <c r="A837" s="1626" t="s">
        <v>2184</v>
      </c>
      <c r="B837" s="1626"/>
      <c r="C837" s="1626"/>
      <c r="D837" s="1626"/>
      <c r="E837" s="1626"/>
      <c r="F837" s="1626"/>
      <c r="G837" s="1626"/>
      <c r="H837" s="1626"/>
      <c r="I837" s="1626"/>
    </row>
    <row r="838" spans="1:11" ht="15.6">
      <c r="A838" s="1626" t="s">
        <v>2097</v>
      </c>
      <c r="B838" s="1626"/>
      <c r="C838" s="1626"/>
      <c r="D838" s="1626"/>
      <c r="E838" s="1626"/>
      <c r="F838" s="1626"/>
      <c r="G838" s="1626"/>
      <c r="H838" s="1626"/>
      <c r="I838" s="1626"/>
    </row>
    <row r="840" spans="1:11">
      <c r="B840" s="524">
        <v>1</v>
      </c>
      <c r="C840" s="524" t="s">
        <v>13</v>
      </c>
    </row>
    <row r="841" spans="1:11">
      <c r="C841" s="832" t="s">
        <v>2182</v>
      </c>
      <c r="D841" s="1282">
        <v>1</v>
      </c>
      <c r="E841" s="1073" t="s">
        <v>44</v>
      </c>
      <c r="F841" s="1073" t="s">
        <v>16</v>
      </c>
      <c r="G841" s="1280">
        <v>664360.41</v>
      </c>
      <c r="H841" s="1280">
        <f>G841*D841</f>
        <v>664360.41</v>
      </c>
    </row>
    <row r="842" spans="1:11">
      <c r="C842" s="832" t="s">
        <v>2139</v>
      </c>
      <c r="D842" s="1282">
        <v>2</v>
      </c>
      <c r="E842" s="1073" t="s">
        <v>44</v>
      </c>
      <c r="F842" s="1073" t="s">
        <v>16</v>
      </c>
      <c r="G842" s="1280">
        <v>105148.83</v>
      </c>
      <c r="H842" s="1280">
        <f>G842*D842</f>
        <v>210297.66</v>
      </c>
    </row>
    <row r="843" spans="1:11">
      <c r="C843" s="832" t="s">
        <v>2183</v>
      </c>
      <c r="D843" s="1282">
        <v>0.1</v>
      </c>
      <c r="E843" s="1073" t="s">
        <v>245</v>
      </c>
      <c r="F843" s="1073" t="s">
        <v>16</v>
      </c>
      <c r="G843" s="1280">
        <v>304700</v>
      </c>
      <c r="H843" s="1280">
        <f>G843*D843</f>
        <v>30470</v>
      </c>
    </row>
    <row r="844" spans="1:11">
      <c r="G844" s="524"/>
      <c r="H844" s="524" t="s">
        <v>2101</v>
      </c>
      <c r="I844" s="1281">
        <f>SUM(H841:H843)</f>
        <v>905128.07000000007</v>
      </c>
    </row>
    <row r="846" spans="1:11">
      <c r="B846" s="524">
        <v>2</v>
      </c>
      <c r="C846" s="524" t="s">
        <v>1232</v>
      </c>
    </row>
    <row r="847" spans="1:11">
      <c r="B847" s="524"/>
      <c r="C847" s="832" t="s">
        <v>2186</v>
      </c>
      <c r="D847" s="1282">
        <f>3.14*0.15*2</f>
        <v>0.94199999999999995</v>
      </c>
      <c r="E847" s="1073" t="s">
        <v>245</v>
      </c>
      <c r="F847" s="1073" t="s">
        <v>82</v>
      </c>
      <c r="G847" s="1280">
        <v>53325</v>
      </c>
      <c r="H847" s="1280">
        <v>50125.5</v>
      </c>
      <c r="K847">
        <f>3.14*0.2*2</f>
        <v>1.2560000000000002</v>
      </c>
    </row>
    <row r="848" spans="1:11">
      <c r="C848" s="832" t="s">
        <v>2190</v>
      </c>
      <c r="D848" s="1282">
        <f>3.14*0.15*1.5*2*2</f>
        <v>2.8259999999999996</v>
      </c>
      <c r="E848" s="1073" t="s">
        <v>245</v>
      </c>
      <c r="F848" s="1073" t="s">
        <v>82</v>
      </c>
      <c r="G848" s="1280">
        <v>201941.25</v>
      </c>
      <c r="H848" s="1280">
        <v>571493.73</v>
      </c>
    </row>
    <row r="849" spans="1:11">
      <c r="C849" s="832" t="s">
        <v>2189</v>
      </c>
      <c r="D849" s="1282">
        <f>D848/2</f>
        <v>1.4129999999999998</v>
      </c>
      <c r="E849" s="1073" t="s">
        <v>245</v>
      </c>
      <c r="F849" s="1073" t="s">
        <v>82</v>
      </c>
      <c r="G849" s="1280">
        <v>201941.25</v>
      </c>
      <c r="H849" s="1280">
        <v>284737.15999999997</v>
      </c>
    </row>
    <row r="850" spans="1:11">
      <c r="C850" s="832" t="s">
        <v>2191</v>
      </c>
      <c r="D850" s="1282">
        <f>3.14*0.15*1.5*2*2</f>
        <v>2.8259999999999996</v>
      </c>
      <c r="E850" s="1073" t="s">
        <v>245</v>
      </c>
      <c r="F850" s="1073" t="s">
        <v>82</v>
      </c>
      <c r="G850" s="1280">
        <v>201941.25</v>
      </c>
      <c r="H850" s="1280">
        <v>571493.73</v>
      </c>
    </row>
    <row r="851" spans="1:11">
      <c r="C851" s="832" t="s">
        <v>2187</v>
      </c>
      <c r="D851" s="1282">
        <v>1</v>
      </c>
      <c r="E851" s="1073" t="s">
        <v>21</v>
      </c>
      <c r="F851" s="1073" t="s">
        <v>51</v>
      </c>
      <c r="G851" s="1280">
        <v>100000</v>
      </c>
      <c r="H851" s="1280">
        <f>G851*D851</f>
        <v>100000</v>
      </c>
    </row>
    <row r="852" spans="1:11">
      <c r="C852" s="832" t="s">
        <v>2188</v>
      </c>
      <c r="D852" s="1282">
        <v>0.48</v>
      </c>
      <c r="E852" s="1073" t="s">
        <v>245</v>
      </c>
      <c r="F852" s="1073" t="s">
        <v>2108</v>
      </c>
      <c r="G852" s="1280">
        <v>46587.5</v>
      </c>
      <c r="H852" s="1280">
        <f>G852*D852</f>
        <v>22362</v>
      </c>
      <c r="K852">
        <f>3.14*0.2*0.1*2</f>
        <v>0.12560000000000002</v>
      </c>
    </row>
    <row r="853" spans="1:11">
      <c r="D853" s="1282"/>
      <c r="E853" s="1073"/>
      <c r="H853" s="524" t="s">
        <v>2109</v>
      </c>
      <c r="I853" s="1281">
        <f>SUM(H847:H852)</f>
        <v>1600212.1199999999</v>
      </c>
    </row>
    <row r="854" spans="1:11">
      <c r="H854" s="937" t="s">
        <v>801</v>
      </c>
      <c r="I854" s="1281">
        <f>I853+I844</f>
        <v>2505340.19</v>
      </c>
    </row>
    <row r="855" spans="1:11">
      <c r="H855" s="937" t="s">
        <v>2110</v>
      </c>
      <c r="I855" s="1281">
        <v>2505000</v>
      </c>
    </row>
    <row r="863" spans="1:11" ht="18">
      <c r="A863" s="1625" t="s">
        <v>1220</v>
      </c>
      <c r="B863" s="1625"/>
      <c r="C863" s="1625"/>
      <c r="D863" s="1625"/>
      <c r="E863" s="1625"/>
      <c r="F863" s="1625"/>
      <c r="G863" s="1625"/>
      <c r="H863" s="1625"/>
      <c r="I863" s="1625"/>
    </row>
    <row r="864" spans="1:11" ht="15.6">
      <c r="A864" s="1626" t="s">
        <v>2153</v>
      </c>
      <c r="B864" s="1626"/>
      <c r="C864" s="1626"/>
      <c r="D864" s="1626"/>
      <c r="E864" s="1626"/>
      <c r="F864" s="1626"/>
      <c r="G864" s="1626"/>
      <c r="H864" s="1626"/>
      <c r="I864" s="1626"/>
    </row>
    <row r="865" spans="1:12" ht="15.6">
      <c r="A865" s="1626" t="s">
        <v>2097</v>
      </c>
      <c r="B865" s="1626"/>
      <c r="C865" s="1626"/>
      <c r="D865" s="1626"/>
      <c r="E865" s="1626"/>
      <c r="F865" s="1626"/>
      <c r="G865" s="1626"/>
      <c r="H865" s="1626"/>
      <c r="I865" s="1626"/>
      <c r="L865">
        <v>80542.75</v>
      </c>
    </row>
    <row r="866" spans="1:12">
      <c r="L866">
        <v>1.51</v>
      </c>
    </row>
    <row r="867" spans="1:12">
      <c r="B867" s="524">
        <v>1</v>
      </c>
      <c r="C867" s="524" t="s">
        <v>13</v>
      </c>
      <c r="L867">
        <f>L865/L866</f>
        <v>53339.569536423842</v>
      </c>
    </row>
    <row r="868" spans="1:12">
      <c r="C868" s="832" t="s">
        <v>2212</v>
      </c>
      <c r="D868" s="1282">
        <v>0.18</v>
      </c>
      <c r="E868" s="1073" t="s">
        <v>245</v>
      </c>
      <c r="F868" s="1073" t="s">
        <v>82</v>
      </c>
      <c r="G868" s="1280">
        <f>27.7*13500</f>
        <v>373950</v>
      </c>
      <c r="H868" s="1280">
        <f>G868*D868</f>
        <v>67311</v>
      </c>
    </row>
    <row r="869" spans="1:12">
      <c r="C869" s="832" t="s">
        <v>2139</v>
      </c>
      <c r="D869" s="1282">
        <v>2</v>
      </c>
      <c r="E869" s="1073" t="s">
        <v>44</v>
      </c>
      <c r="F869" s="1073" t="s">
        <v>82</v>
      </c>
      <c r="G869" s="1280">
        <v>130700</v>
      </c>
      <c r="H869" s="1280">
        <f>G869*D869</f>
        <v>261400</v>
      </c>
    </row>
    <row r="870" spans="1:12">
      <c r="G870" s="524"/>
      <c r="H870" s="524" t="s">
        <v>2101</v>
      </c>
      <c r="I870" s="1281">
        <f>SUM(H868:H869)</f>
        <v>328711</v>
      </c>
    </row>
    <row r="872" spans="1:12">
      <c r="B872" s="524">
        <v>2</v>
      </c>
      <c r="C872" s="524" t="s">
        <v>1232</v>
      </c>
    </row>
    <row r="873" spans="1:12">
      <c r="C873" s="832" t="s">
        <v>2145</v>
      </c>
      <c r="D873" s="1282">
        <f>3.14*0.1524*1.5*2*2</f>
        <v>2.871216</v>
      </c>
      <c r="E873" s="1073" t="s">
        <v>245</v>
      </c>
      <c r="F873" s="1073" t="s">
        <v>82</v>
      </c>
      <c r="G873" s="1280">
        <v>214375</v>
      </c>
      <c r="H873" s="1280">
        <f>G873*D873</f>
        <v>615516.93000000005</v>
      </c>
    </row>
    <row r="874" spans="1:12">
      <c r="C874" s="832" t="s">
        <v>2209</v>
      </c>
      <c r="D874" s="1282"/>
      <c r="E874" s="1073"/>
      <c r="F874" s="1073"/>
      <c r="G874" s="1280"/>
      <c r="H874" s="1280"/>
    </row>
    <row r="875" spans="1:12">
      <c r="C875" s="832" t="s">
        <v>2146</v>
      </c>
      <c r="D875" s="1282">
        <f>3.14*0.16*3</f>
        <v>1.5072000000000001</v>
      </c>
      <c r="E875" s="1073" t="s">
        <v>245</v>
      </c>
      <c r="F875" s="1073" t="s">
        <v>82</v>
      </c>
      <c r="G875" s="1280">
        <v>53325</v>
      </c>
      <c r="H875" s="1280">
        <f>G875*D875</f>
        <v>80371.44</v>
      </c>
    </row>
    <row r="876" spans="1:12">
      <c r="C876" s="832" t="s">
        <v>2205</v>
      </c>
      <c r="D876" s="1282">
        <v>1</v>
      </c>
      <c r="E876" s="1073" t="s">
        <v>21</v>
      </c>
      <c r="F876" s="1073" t="s">
        <v>51</v>
      </c>
      <c r="G876" s="1280">
        <v>200000</v>
      </c>
      <c r="H876" s="1280">
        <f>G876</f>
        <v>200000</v>
      </c>
    </row>
    <row r="877" spans="1:12">
      <c r="C877" s="832" t="s">
        <v>2204</v>
      </c>
      <c r="D877" s="1282">
        <v>0.2</v>
      </c>
      <c r="E877" s="1073" t="s">
        <v>245</v>
      </c>
      <c r="F877" s="1073" t="s">
        <v>2108</v>
      </c>
      <c r="G877" s="1280">
        <v>46587.5</v>
      </c>
      <c r="H877" s="1280">
        <f>G877*D877</f>
        <v>9317.5</v>
      </c>
      <c r="L877">
        <f>3.14*0.15*0.18*2</f>
        <v>0.16955999999999999</v>
      </c>
    </row>
    <row r="878" spans="1:12">
      <c r="D878" s="1282"/>
      <c r="E878" s="1073"/>
      <c r="H878" s="524" t="s">
        <v>2109</v>
      </c>
      <c r="I878" s="1281">
        <f>SUM(H873:H877)</f>
        <v>905205.87000000011</v>
      </c>
    </row>
    <row r="879" spans="1:12">
      <c r="H879" s="937" t="s">
        <v>801</v>
      </c>
      <c r="I879" s="1281">
        <f>I878+I870</f>
        <v>1233916.8700000001</v>
      </c>
    </row>
    <row r="880" spans="1:12">
      <c r="H880" s="937" t="s">
        <v>460</v>
      </c>
      <c r="I880" s="1281"/>
    </row>
    <row r="881" spans="1:9">
      <c r="H881" s="937" t="s">
        <v>2058</v>
      </c>
      <c r="I881" s="1281">
        <f>I879+I880</f>
        <v>1233916.8700000001</v>
      </c>
    </row>
    <row r="882" spans="1:9">
      <c r="H882" s="937" t="s">
        <v>2110</v>
      </c>
      <c r="I882" s="1281">
        <v>1233900</v>
      </c>
    </row>
    <row r="885" spans="1:9" ht="18">
      <c r="A885" s="1625" t="s">
        <v>1220</v>
      </c>
      <c r="B885" s="1625"/>
      <c r="C885" s="1625"/>
      <c r="D885" s="1625"/>
      <c r="E885" s="1625"/>
      <c r="F885" s="1625"/>
      <c r="G885" s="1625"/>
      <c r="H885" s="1625"/>
      <c r="I885" s="1625"/>
    </row>
    <row r="886" spans="1:9" ht="15.6">
      <c r="A886" s="1626" t="s">
        <v>2153</v>
      </c>
      <c r="B886" s="1626"/>
      <c r="C886" s="1626"/>
      <c r="D886" s="1626"/>
      <c r="E886" s="1626"/>
      <c r="F886" s="1626"/>
      <c r="G886" s="1626"/>
      <c r="H886" s="1626"/>
      <c r="I886" s="1626"/>
    </row>
    <row r="887" spans="1:9" ht="15.6">
      <c r="A887" s="1626" t="s">
        <v>2097</v>
      </c>
      <c r="B887" s="1626"/>
      <c r="C887" s="1626"/>
      <c r="D887" s="1626"/>
      <c r="E887" s="1626"/>
      <c r="F887" s="1626"/>
      <c r="G887" s="1626"/>
      <c r="H887" s="1626"/>
      <c r="I887" s="1626"/>
    </row>
    <row r="889" spans="1:9">
      <c r="B889" s="524">
        <v>1</v>
      </c>
      <c r="C889" s="524" t="s">
        <v>13</v>
      </c>
    </row>
    <row r="890" spans="1:9">
      <c r="C890" s="832" t="s">
        <v>2226</v>
      </c>
      <c r="D890" s="1282">
        <v>0.35</v>
      </c>
      <c r="E890" s="1073" t="s">
        <v>245</v>
      </c>
      <c r="F890" s="1073" t="s">
        <v>82</v>
      </c>
      <c r="G890" s="1280">
        <f>27.7*13500</f>
        <v>373950</v>
      </c>
      <c r="H890" s="1280">
        <f>G890*D890</f>
        <v>130882.49999999999</v>
      </c>
    </row>
    <row r="891" spans="1:9">
      <c r="C891" s="832" t="s">
        <v>2139</v>
      </c>
      <c r="D891" s="1282">
        <v>2</v>
      </c>
      <c r="E891" s="1073" t="s">
        <v>44</v>
      </c>
      <c r="F891" s="1073" t="s">
        <v>82</v>
      </c>
      <c r="G891" s="1280">
        <v>130700</v>
      </c>
      <c r="H891" s="1280">
        <f>G891*D891</f>
        <v>261400</v>
      </c>
    </row>
    <row r="892" spans="1:9">
      <c r="G892" s="524"/>
      <c r="H892" s="524" t="s">
        <v>2101</v>
      </c>
      <c r="I892" s="1281">
        <f>SUM(H890:H891)</f>
        <v>392282.5</v>
      </c>
    </row>
    <row r="894" spans="1:9">
      <c r="B894" s="524">
        <v>2</v>
      </c>
      <c r="C894" s="524" t="s">
        <v>1232</v>
      </c>
    </row>
    <row r="895" spans="1:9">
      <c r="C895" s="832" t="s">
        <v>2145</v>
      </c>
      <c r="D895" s="1282">
        <f>3.14*0.1524*1.5*2*2</f>
        <v>2.871216</v>
      </c>
      <c r="E895" s="1073" t="s">
        <v>245</v>
      </c>
      <c r="F895" s="1073" t="s">
        <v>82</v>
      </c>
      <c r="G895" s="1280">
        <v>214375</v>
      </c>
      <c r="H895" s="1280">
        <f>G895*D895</f>
        <v>615516.93000000005</v>
      </c>
    </row>
    <row r="896" spans="1:9">
      <c r="C896" s="832" t="s">
        <v>2209</v>
      </c>
      <c r="D896" s="1282"/>
      <c r="E896" s="1073"/>
      <c r="F896" s="1073"/>
      <c r="G896" s="1280"/>
      <c r="H896" s="1280"/>
    </row>
    <row r="897" spans="1:9">
      <c r="C897" s="832" t="s">
        <v>2146</v>
      </c>
      <c r="D897" s="1282">
        <f>3.14*0.16*3</f>
        <v>1.5072000000000001</v>
      </c>
      <c r="E897" s="1073" t="s">
        <v>245</v>
      </c>
      <c r="F897" s="1073" t="s">
        <v>82</v>
      </c>
      <c r="G897" s="1280">
        <v>53325</v>
      </c>
      <c r="H897" s="1280">
        <f>G897*D897</f>
        <v>80371.44</v>
      </c>
    </row>
    <row r="898" spans="1:9">
      <c r="C898" s="832" t="s">
        <v>2211</v>
      </c>
      <c r="D898" s="1282">
        <v>1</v>
      </c>
      <c r="E898" s="1073" t="s">
        <v>21</v>
      </c>
      <c r="F898" s="1073" t="s">
        <v>51</v>
      </c>
      <c r="G898" s="1280">
        <v>200000</v>
      </c>
      <c r="H898" s="1280">
        <f>G898</f>
        <v>200000</v>
      </c>
    </row>
    <row r="899" spans="1:9">
      <c r="C899" s="832" t="s">
        <v>2147</v>
      </c>
      <c r="D899" s="1282">
        <v>0.2</v>
      </c>
      <c r="E899" s="1073" t="s">
        <v>245</v>
      </c>
      <c r="F899" s="1073" t="s">
        <v>2108</v>
      </c>
      <c r="G899" s="1280">
        <v>46587.5</v>
      </c>
      <c r="H899" s="1280">
        <f>G899*D899</f>
        <v>9317.5</v>
      </c>
    </row>
    <row r="900" spans="1:9">
      <c r="D900" s="1282"/>
      <c r="E900" s="1073"/>
      <c r="H900" s="524" t="s">
        <v>2109</v>
      </c>
      <c r="I900" s="1281">
        <f>SUM(H895:H899)</f>
        <v>905205.87000000011</v>
      </c>
    </row>
    <row r="901" spans="1:9">
      <c r="H901" s="937" t="s">
        <v>801</v>
      </c>
      <c r="I901" s="1281">
        <f>I900+I892</f>
        <v>1297488.3700000001</v>
      </c>
    </row>
    <row r="902" spans="1:9">
      <c r="H902" s="937" t="s">
        <v>460</v>
      </c>
      <c r="I902" s="1281"/>
    </row>
    <row r="903" spans="1:9">
      <c r="H903" s="937" t="s">
        <v>2058</v>
      </c>
      <c r="I903" s="1281">
        <f>I901+I902</f>
        <v>1297488.3700000001</v>
      </c>
    </row>
    <row r="904" spans="1:9">
      <c r="H904" s="937" t="s">
        <v>2110</v>
      </c>
      <c r="I904" s="1281">
        <v>1297500</v>
      </c>
    </row>
    <row r="908" spans="1:9" ht="18">
      <c r="A908" s="1625" t="s">
        <v>1220</v>
      </c>
      <c r="B908" s="1625"/>
      <c r="C908" s="1625"/>
      <c r="D908" s="1625"/>
      <c r="E908" s="1625"/>
      <c r="F908" s="1625"/>
      <c r="G908" s="1625"/>
      <c r="H908" s="1625"/>
      <c r="I908" s="1625"/>
    </row>
    <row r="909" spans="1:9" ht="15.6">
      <c r="A909" s="1626" t="s">
        <v>2236</v>
      </c>
      <c r="B909" s="1626"/>
      <c r="C909" s="1626"/>
      <c r="D909" s="1626"/>
      <c r="E909" s="1626"/>
      <c r="F909" s="1626"/>
      <c r="G909" s="1626"/>
      <c r="H909" s="1626"/>
      <c r="I909" s="1626"/>
    </row>
    <row r="910" spans="1:9" ht="15.6">
      <c r="A910" s="1626"/>
      <c r="B910" s="1626"/>
      <c r="C910" s="1626"/>
      <c r="D910" s="1626"/>
      <c r="E910" s="1626"/>
      <c r="F910" s="1626"/>
      <c r="G910" s="1626"/>
      <c r="H910" s="1626"/>
      <c r="I910" s="1626"/>
    </row>
    <row r="912" spans="1:9">
      <c r="B912">
        <v>1</v>
      </c>
      <c r="C912" t="s">
        <v>2237</v>
      </c>
    </row>
    <row r="913" spans="1:9">
      <c r="C913" t="s">
        <v>2238</v>
      </c>
      <c r="D913" t="s">
        <v>555</v>
      </c>
      <c r="E913" t="s">
        <v>2239</v>
      </c>
    </row>
    <row r="914" spans="1:9">
      <c r="D914" t="s">
        <v>555</v>
      </c>
      <c r="E914" s="532">
        <f>60*6*2</f>
        <v>720</v>
      </c>
      <c r="F914" t="s">
        <v>919</v>
      </c>
    </row>
    <row r="916" spans="1:9">
      <c r="C916" t="s">
        <v>2240</v>
      </c>
      <c r="D916" t="s">
        <v>555</v>
      </c>
      <c r="E916" t="s">
        <v>2241</v>
      </c>
    </row>
    <row r="917" spans="1:9">
      <c r="D917" t="s">
        <v>555</v>
      </c>
      <c r="E917" s="532">
        <f>9*6*2</f>
        <v>108</v>
      </c>
      <c r="F917" t="s">
        <v>919</v>
      </c>
    </row>
    <row r="919" spans="1:9">
      <c r="C919" t="s">
        <v>2242</v>
      </c>
      <c r="D919" t="s">
        <v>555</v>
      </c>
      <c r="E919" t="s">
        <v>2243</v>
      </c>
    </row>
    <row r="920" spans="1:9">
      <c r="D920" t="s">
        <v>555</v>
      </c>
      <c r="E920" s="532">
        <f>6*6*2*5</f>
        <v>360</v>
      </c>
      <c r="F920" t="s">
        <v>919</v>
      </c>
    </row>
    <row r="922" spans="1:9">
      <c r="C922" t="s">
        <v>2244</v>
      </c>
      <c r="D922" t="s">
        <v>555</v>
      </c>
      <c r="E922" t="s">
        <v>2245</v>
      </c>
    </row>
    <row r="923" spans="1:9" ht="15" thickBot="1">
      <c r="D923" s="523" t="s">
        <v>555</v>
      </c>
      <c r="E923" s="1367">
        <f>0.4*6*4*6</f>
        <v>57.600000000000009</v>
      </c>
      <c r="F923" s="523" t="s">
        <v>919</v>
      </c>
    </row>
    <row r="924" spans="1:9">
      <c r="C924" s="522" t="s">
        <v>801</v>
      </c>
      <c r="D924" s="755" t="s">
        <v>555</v>
      </c>
      <c r="E924" s="1368">
        <f>E923+E920+E917+E914</f>
        <v>1245.5999999999999</v>
      </c>
      <c r="F924" s="832" t="s">
        <v>919</v>
      </c>
    </row>
    <row r="925" spans="1:9">
      <c r="C925" s="836" t="s">
        <v>2246</v>
      </c>
      <c r="D925" s="755" t="s">
        <v>555</v>
      </c>
      <c r="E925" s="1368">
        <f>E924*2</f>
        <v>2491.1999999999998</v>
      </c>
      <c r="F925" s="832" t="s">
        <v>919</v>
      </c>
    </row>
    <row r="927" spans="1:9" ht="18">
      <c r="A927" s="1625" t="s">
        <v>1220</v>
      </c>
      <c r="B927" s="1625"/>
      <c r="C927" s="1625"/>
      <c r="D927" s="1625"/>
      <c r="E927" s="1625"/>
      <c r="F927" s="1625"/>
      <c r="G927" s="1625"/>
      <c r="H927" s="1625"/>
      <c r="I927" s="1625"/>
    </row>
    <row r="928" spans="1:9" ht="15.6">
      <c r="A928" s="1626" t="s">
        <v>2314</v>
      </c>
      <c r="B928" s="1626"/>
      <c r="C928" s="1626"/>
      <c r="D928" s="1626"/>
      <c r="E928" s="1626"/>
      <c r="F928" s="1626"/>
      <c r="G928" s="1626"/>
      <c r="H928" s="1626"/>
      <c r="I928" s="1626"/>
    </row>
    <row r="935" spans="4:5">
      <c r="D935" s="1430" t="s">
        <v>2315</v>
      </c>
      <c r="E935" t="s">
        <v>2316</v>
      </c>
    </row>
    <row r="936" spans="4:5">
      <c r="D936" s="1430" t="s">
        <v>2317</v>
      </c>
      <c r="E936" t="s">
        <v>2318</v>
      </c>
    </row>
    <row r="937" spans="4:5">
      <c r="D937" s="1430" t="s">
        <v>2319</v>
      </c>
      <c r="E937" t="s">
        <v>2320</v>
      </c>
    </row>
    <row r="938" spans="4:5">
      <c r="D938" s="1430" t="s">
        <v>2321</v>
      </c>
      <c r="E938" t="s">
        <v>2322</v>
      </c>
    </row>
    <row r="939" spans="4:5">
      <c r="D939" s="1430" t="s">
        <v>2323</v>
      </c>
      <c r="E939" t="s">
        <v>2324</v>
      </c>
    </row>
    <row r="940" spans="4:5">
      <c r="D940" s="1430" t="s">
        <v>2325</v>
      </c>
      <c r="E940" t="s">
        <v>2326</v>
      </c>
    </row>
  </sheetData>
  <mergeCells count="298">
    <mergeCell ref="E741:F741"/>
    <mergeCell ref="A728:H728"/>
    <mergeCell ref="A729:H729"/>
    <mergeCell ref="A730:H730"/>
    <mergeCell ref="E733:F733"/>
    <mergeCell ref="E735:F735"/>
    <mergeCell ref="E737:F737"/>
    <mergeCell ref="A603:H603"/>
    <mergeCell ref="E611:F611"/>
    <mergeCell ref="E613:F613"/>
    <mergeCell ref="E615:G615"/>
    <mergeCell ref="E618:H618"/>
    <mergeCell ref="E708:F708"/>
    <mergeCell ref="E710:F710"/>
    <mergeCell ref="E677:H677"/>
    <mergeCell ref="E678:G678"/>
    <mergeCell ref="E680:G680"/>
    <mergeCell ref="E712:F712"/>
    <mergeCell ref="E713:F713"/>
    <mergeCell ref="E715:F715"/>
    <mergeCell ref="E717:F717"/>
    <mergeCell ref="E719:F719"/>
    <mergeCell ref="E720:F720"/>
    <mergeCell ref="A1:I1"/>
    <mergeCell ref="A2:I2"/>
    <mergeCell ref="A3:I3"/>
    <mergeCell ref="E8:G8"/>
    <mergeCell ref="E11:H11"/>
    <mergeCell ref="E15:H15"/>
    <mergeCell ref="E36:H36"/>
    <mergeCell ref="E26:G26"/>
    <mergeCell ref="E29:G29"/>
    <mergeCell ref="E31:G31"/>
    <mergeCell ref="E33:G33"/>
    <mergeCell ref="E34:G34"/>
    <mergeCell ref="E35:H35"/>
    <mergeCell ref="E535:F535"/>
    <mergeCell ref="E538:F538"/>
    <mergeCell ref="E541:F541"/>
    <mergeCell ref="A545:H545"/>
    <mergeCell ref="A546:H546"/>
    <mergeCell ref="A547:H547"/>
    <mergeCell ref="E549:F549"/>
    <mergeCell ref="E568:G568"/>
    <mergeCell ref="E17:G17"/>
    <mergeCell ref="E19:H19"/>
    <mergeCell ref="E20:H20"/>
    <mergeCell ref="E21:G21"/>
    <mergeCell ref="E22:G22"/>
    <mergeCell ref="E23:G23"/>
    <mergeCell ref="E516:F516"/>
    <mergeCell ref="E537:G537"/>
    <mergeCell ref="E515:F515"/>
    <mergeCell ref="E427:G427"/>
    <mergeCell ref="E430:G430"/>
    <mergeCell ref="E431:G431"/>
    <mergeCell ref="E433:G433"/>
    <mergeCell ref="E436:G436"/>
    <mergeCell ref="E417:G417"/>
    <mergeCell ref="E419:G419"/>
    <mergeCell ref="E421:G421"/>
    <mergeCell ref="E423:G423"/>
    <mergeCell ref="E424:G424"/>
    <mergeCell ref="E425:G425"/>
    <mergeCell ref="E405:G405"/>
    <mergeCell ref="E407:G407"/>
    <mergeCell ref="E409:G409"/>
    <mergeCell ref="E411:G411"/>
    <mergeCell ref="E413:G413"/>
    <mergeCell ref="E415:G415"/>
    <mergeCell ref="E392:G392"/>
    <mergeCell ref="E393:H393"/>
    <mergeCell ref="E394:H394"/>
    <mergeCell ref="A398:H398"/>
    <mergeCell ref="A399:H399"/>
    <mergeCell ref="A400:H400"/>
    <mergeCell ref="E380:G380"/>
    <mergeCell ref="E381:G381"/>
    <mergeCell ref="E384:G384"/>
    <mergeCell ref="E387:G387"/>
    <mergeCell ref="E389:G389"/>
    <mergeCell ref="E391:G391"/>
    <mergeCell ref="E369:H369"/>
    <mergeCell ref="E373:H373"/>
    <mergeCell ref="E375:G375"/>
    <mergeCell ref="E377:H377"/>
    <mergeCell ref="E378:H378"/>
    <mergeCell ref="E379:G379"/>
    <mergeCell ref="A359:I359"/>
    <mergeCell ref="A360:I360"/>
    <mergeCell ref="A361:I361"/>
    <mergeCell ref="E334:H334"/>
    <mergeCell ref="E355:H355"/>
    <mergeCell ref="E366:G366"/>
    <mergeCell ref="E348:G348"/>
    <mergeCell ref="E350:G350"/>
    <mergeCell ref="E352:G352"/>
    <mergeCell ref="E354:H354"/>
    <mergeCell ref="A320:I320"/>
    <mergeCell ref="A321:I321"/>
    <mergeCell ref="A322:I322"/>
    <mergeCell ref="E327:G327"/>
    <mergeCell ref="E336:G336"/>
    <mergeCell ref="E340:G340"/>
    <mergeCell ref="E341:G341"/>
    <mergeCell ref="E342:G342"/>
    <mergeCell ref="E353:G353"/>
    <mergeCell ref="E330:H330"/>
    <mergeCell ref="E338:H338"/>
    <mergeCell ref="E339:H339"/>
    <mergeCell ref="E345:G345"/>
    <mergeCell ref="E311:G311"/>
    <mergeCell ref="E314:G314"/>
    <mergeCell ref="E295:G295"/>
    <mergeCell ref="E303:G303"/>
    <mergeCell ref="E305:G305"/>
    <mergeCell ref="E308:G308"/>
    <mergeCell ref="E293:G293"/>
    <mergeCell ref="E297:G297"/>
    <mergeCell ref="E299:G299"/>
    <mergeCell ref="E301:G301"/>
    <mergeCell ref="E302:G302"/>
    <mergeCell ref="E309:G309"/>
    <mergeCell ref="A278:H278"/>
    <mergeCell ref="E283:G283"/>
    <mergeCell ref="E285:G285"/>
    <mergeCell ref="E287:G287"/>
    <mergeCell ref="E289:G289"/>
    <mergeCell ref="E291:G291"/>
    <mergeCell ref="E265:G265"/>
    <mergeCell ref="E267:G267"/>
    <mergeCell ref="E269:G269"/>
    <mergeCell ref="E272:G272"/>
    <mergeCell ref="A276:H276"/>
    <mergeCell ref="A277:H277"/>
    <mergeCell ref="E249:G249"/>
    <mergeCell ref="E254:G254"/>
    <mergeCell ref="E261:G261"/>
    <mergeCell ref="E227:G227"/>
    <mergeCell ref="E231:G231"/>
    <mergeCell ref="E232:G232"/>
    <mergeCell ref="E233:G233"/>
    <mergeCell ref="E237:G237"/>
    <mergeCell ref="E238:G238"/>
    <mergeCell ref="B185:I185"/>
    <mergeCell ref="B186:I186"/>
    <mergeCell ref="B187:I187"/>
    <mergeCell ref="B207:I207"/>
    <mergeCell ref="B208:I208"/>
    <mergeCell ref="B209:I209"/>
    <mergeCell ref="E239:G239"/>
    <mergeCell ref="E244:G244"/>
    <mergeCell ref="E247:G247"/>
    <mergeCell ref="G42:G43"/>
    <mergeCell ref="F42:F43"/>
    <mergeCell ref="E42:E43"/>
    <mergeCell ref="C42:C43"/>
    <mergeCell ref="B42:B43"/>
    <mergeCell ref="B67:I67"/>
    <mergeCell ref="B68:I68"/>
    <mergeCell ref="A443:H443"/>
    <mergeCell ref="A444:H444"/>
    <mergeCell ref="B69:I69"/>
    <mergeCell ref="E115:H115"/>
    <mergeCell ref="E81:G81"/>
    <mergeCell ref="E84:H84"/>
    <mergeCell ref="E85:H85"/>
    <mergeCell ref="E114:H114"/>
    <mergeCell ref="B121:I121"/>
    <mergeCell ref="B122:I122"/>
    <mergeCell ref="B123:I123"/>
    <mergeCell ref="E216:F216"/>
    <mergeCell ref="E218:F218"/>
    <mergeCell ref="E219:F219"/>
    <mergeCell ref="E220:G220"/>
    <mergeCell ref="E225:G225"/>
    <mergeCell ref="E226:G226"/>
    <mergeCell ref="A445:H445"/>
    <mergeCell ref="E450:G450"/>
    <mergeCell ref="E453:G453"/>
    <mergeCell ref="E455:G455"/>
    <mergeCell ref="E449:F449"/>
    <mergeCell ref="E452:F452"/>
    <mergeCell ref="E456:F456"/>
    <mergeCell ref="E458:F458"/>
    <mergeCell ref="E460:F460"/>
    <mergeCell ref="E457:G457"/>
    <mergeCell ref="E508:F508"/>
    <mergeCell ref="E509:F509"/>
    <mergeCell ref="E514:F514"/>
    <mergeCell ref="E463:G463"/>
    <mergeCell ref="E465:G465"/>
    <mergeCell ref="E467:G467"/>
    <mergeCell ref="E480:F480"/>
    <mergeCell ref="E513:F513"/>
    <mergeCell ref="E490:F490"/>
    <mergeCell ref="E484:F484"/>
    <mergeCell ref="E485:G485"/>
    <mergeCell ref="E481:G481"/>
    <mergeCell ref="A469:H469"/>
    <mergeCell ref="A470:H470"/>
    <mergeCell ref="A471:H471"/>
    <mergeCell ref="E475:F475"/>
    <mergeCell ref="E478:F478"/>
    <mergeCell ref="E479:G479"/>
    <mergeCell ref="E493:G493"/>
    <mergeCell ref="E494:G494"/>
    <mergeCell ref="A499:H499"/>
    <mergeCell ref="A500:H500"/>
    <mergeCell ref="A501:H501"/>
    <mergeCell ref="E550:G550"/>
    <mergeCell ref="A703:H703"/>
    <mergeCell ref="A704:H704"/>
    <mergeCell ref="A705:H705"/>
    <mergeCell ref="E462:F462"/>
    <mergeCell ref="E459:G459"/>
    <mergeCell ref="E461:G461"/>
    <mergeCell ref="E464:F464"/>
    <mergeCell ref="E476:G476"/>
    <mergeCell ref="E503:F503"/>
    <mergeCell ref="E504:G504"/>
    <mergeCell ref="E507:F507"/>
    <mergeCell ref="E506:F506"/>
    <mergeCell ref="E540:G540"/>
    <mergeCell ref="E539:F539"/>
    <mergeCell ref="A531:H531"/>
    <mergeCell ref="A532:H532"/>
    <mergeCell ref="A533:H533"/>
    <mergeCell ref="E619:G619"/>
    <mergeCell ref="A593:H593"/>
    <mergeCell ref="A594:H594"/>
    <mergeCell ref="A595:H595"/>
    <mergeCell ref="E596:F596"/>
    <mergeCell ref="E597:G597"/>
    <mergeCell ref="E562:G562"/>
    <mergeCell ref="E674:G674"/>
    <mergeCell ref="E676:H676"/>
    <mergeCell ref="A638:H638"/>
    <mergeCell ref="A639:H639"/>
    <mergeCell ref="A640:H640"/>
    <mergeCell ref="E642:F642"/>
    <mergeCell ref="E643:G643"/>
    <mergeCell ref="E629:G629"/>
    <mergeCell ref="E571:H571"/>
    <mergeCell ref="E572:G572"/>
    <mergeCell ref="E582:G582"/>
    <mergeCell ref="E564:F564"/>
    <mergeCell ref="E566:F566"/>
    <mergeCell ref="E609:G609"/>
    <mergeCell ref="E598:G598"/>
    <mergeCell ref="E599:G599"/>
    <mergeCell ref="E600:G600"/>
    <mergeCell ref="A602:H602"/>
    <mergeCell ref="E747:F747"/>
    <mergeCell ref="E751:F751"/>
    <mergeCell ref="E743:F743"/>
    <mergeCell ref="E745:F745"/>
    <mergeCell ref="E787:F787"/>
    <mergeCell ref="E790:F790"/>
    <mergeCell ref="E793:F793"/>
    <mergeCell ref="E797:F797"/>
    <mergeCell ref="E799:F799"/>
    <mergeCell ref="A782:H782"/>
    <mergeCell ref="A783:H783"/>
    <mergeCell ref="A784:H784"/>
    <mergeCell ref="E772:F772"/>
    <mergeCell ref="E774:F774"/>
    <mergeCell ref="E780:F780"/>
    <mergeCell ref="E775:F775"/>
    <mergeCell ref="A755:H755"/>
    <mergeCell ref="A756:H756"/>
    <mergeCell ref="A757:H757"/>
    <mergeCell ref="E760:F760"/>
    <mergeCell ref="E763:F763"/>
    <mergeCell ref="E766:F766"/>
    <mergeCell ref="E770:F770"/>
    <mergeCell ref="A927:I927"/>
    <mergeCell ref="A928:I928"/>
    <mergeCell ref="E801:F801"/>
    <mergeCell ref="E802:F802"/>
    <mergeCell ref="E789:F789"/>
    <mergeCell ref="E791:F791"/>
    <mergeCell ref="E795:F795"/>
    <mergeCell ref="A908:I908"/>
    <mergeCell ref="A909:I909"/>
    <mergeCell ref="A910:I910"/>
    <mergeCell ref="A885:I885"/>
    <mergeCell ref="A886:I886"/>
    <mergeCell ref="A887:I887"/>
    <mergeCell ref="A808:I808"/>
    <mergeCell ref="A809:I809"/>
    <mergeCell ref="A810:I810"/>
    <mergeCell ref="A863:I863"/>
    <mergeCell ref="A864:I864"/>
    <mergeCell ref="A865:I865"/>
    <mergeCell ref="A836:I836"/>
    <mergeCell ref="A837:I837"/>
    <mergeCell ref="A838:I838"/>
  </mergeCells>
  <printOptions horizontalCentered="1"/>
  <pageMargins left="0.19685039370078741" right="0.31496062992125984" top="0.78740157480314965" bottom="0.51181102362204722" header="0.51181102362204722" footer="0.51181102362204722"/>
  <pageSetup paperSize="256" scale="35" firstPageNumber="4294963191" orientation="portrait" horizontalDpi="4294967292" verticalDpi="4294967292" r:id="rId1"/>
  <headerFooter alignWithMargins="0"/>
  <rowBreaks count="1" manualBreakCount="1">
    <brk id="84" min="1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2:L365"/>
  <sheetViews>
    <sheetView topLeftCell="A298" workbookViewId="0">
      <selection activeCell="A2" sqref="A2:J45"/>
    </sheetView>
  </sheetViews>
  <sheetFormatPr defaultColWidth="9.109375" defaultRowHeight="14.4"/>
  <cols>
    <col min="1" max="1" width="3.5546875" customWidth="1"/>
    <col min="2" max="2" width="14" bestFit="1" customWidth="1"/>
    <col min="3" max="3" width="11.5546875" bestFit="1" customWidth="1"/>
    <col min="4" max="4" width="39.44140625" customWidth="1"/>
    <col min="5" max="5" width="18" bestFit="1" customWidth="1"/>
    <col min="6" max="8" width="6.6640625" customWidth="1"/>
    <col min="9" max="9" width="18.6640625" bestFit="1" customWidth="1"/>
    <col min="10" max="10" width="19.109375" bestFit="1" customWidth="1"/>
    <col min="11" max="11" width="19" customWidth="1"/>
    <col min="12" max="12" width="20.88671875" bestFit="1" customWidth="1"/>
  </cols>
  <sheetData>
    <row r="2" spans="1:12" ht="18">
      <c r="A2" s="1625" t="s">
        <v>796</v>
      </c>
      <c r="B2" s="1625"/>
      <c r="C2" s="1625"/>
      <c r="D2" s="1625"/>
      <c r="E2" s="1625"/>
      <c r="F2" s="1625"/>
      <c r="G2" s="1625"/>
      <c r="H2" s="1625"/>
      <c r="I2" s="1625"/>
      <c r="J2" s="1625"/>
      <c r="K2" s="565"/>
      <c r="L2" s="565"/>
    </row>
    <row r="3" spans="1:12" ht="15.6">
      <c r="A3" s="1675" t="s">
        <v>797</v>
      </c>
      <c r="B3" s="1675"/>
      <c r="C3" s="1675"/>
      <c r="D3" s="1675"/>
      <c r="E3" s="1675"/>
      <c r="F3" s="1675"/>
      <c r="G3" s="1675"/>
      <c r="H3" s="1675"/>
      <c r="I3" s="1675"/>
      <c r="J3" s="1675"/>
      <c r="K3" s="566"/>
      <c r="L3" s="566"/>
    </row>
    <row r="4" spans="1:12" ht="15" thickBot="1"/>
    <row r="5" spans="1:12">
      <c r="A5" s="1691" t="s">
        <v>3</v>
      </c>
      <c r="B5" s="1694" t="s">
        <v>798</v>
      </c>
      <c r="C5" s="1694" t="s">
        <v>799</v>
      </c>
      <c r="D5" s="1694" t="s">
        <v>800</v>
      </c>
      <c r="E5" s="1694" t="s">
        <v>801</v>
      </c>
      <c r="F5" s="1704" t="s">
        <v>802</v>
      </c>
      <c r="G5" s="1705"/>
      <c r="H5" s="1705"/>
      <c r="I5" s="1705"/>
      <c r="J5" s="1701" t="s">
        <v>803</v>
      </c>
      <c r="K5" s="1357"/>
      <c r="L5" s="1747"/>
    </row>
    <row r="6" spans="1:12">
      <c r="A6" s="1692"/>
      <c r="B6" s="1695"/>
      <c r="C6" s="1695"/>
      <c r="D6" s="1695"/>
      <c r="E6" s="1695"/>
      <c r="F6" s="1750" t="s">
        <v>804</v>
      </c>
      <c r="G6" s="1751"/>
      <c r="H6" s="1752"/>
      <c r="I6" s="538" t="s">
        <v>805</v>
      </c>
      <c r="J6" s="1702"/>
      <c r="K6" s="1745"/>
      <c r="L6" s="1747"/>
    </row>
    <row r="7" spans="1:12" ht="29.4" thickBot="1">
      <c r="A7" s="1693"/>
      <c r="B7" s="1696"/>
      <c r="C7" s="1696"/>
      <c r="D7" s="1696"/>
      <c r="E7" s="1696"/>
      <c r="F7" s="539" t="s">
        <v>806</v>
      </c>
      <c r="G7" s="539" t="s">
        <v>807</v>
      </c>
      <c r="H7" s="539" t="s">
        <v>808</v>
      </c>
      <c r="I7" s="540" t="s">
        <v>2224</v>
      </c>
      <c r="J7" s="1703"/>
      <c r="K7" s="1358"/>
      <c r="L7" s="1747"/>
    </row>
    <row r="8" spans="1:12">
      <c r="A8" s="541"/>
      <c r="B8" s="542"/>
      <c r="C8" s="542"/>
      <c r="D8" s="543"/>
      <c r="E8" s="543"/>
      <c r="F8" s="543"/>
      <c r="G8" s="543"/>
      <c r="H8" s="543"/>
      <c r="I8" s="543"/>
      <c r="J8" s="1365"/>
      <c r="K8" s="974"/>
      <c r="L8" s="749"/>
    </row>
    <row r="9" spans="1:12" ht="15" customHeight="1">
      <c r="A9" s="545" t="s">
        <v>12</v>
      </c>
      <c r="B9" s="588" t="s">
        <v>2216</v>
      </c>
      <c r="C9" s="546" t="s">
        <v>809</v>
      </c>
      <c r="D9" s="547" t="s">
        <v>810</v>
      </c>
      <c r="E9" s="548"/>
      <c r="F9" s="547"/>
      <c r="G9" s="547"/>
      <c r="H9" s="547"/>
      <c r="I9" s="547"/>
      <c r="J9" s="1748" t="s">
        <v>2214</v>
      </c>
      <c r="K9" s="974"/>
      <c r="L9" s="749"/>
    </row>
    <row r="10" spans="1:12">
      <c r="A10" s="550"/>
      <c r="B10" s="546"/>
      <c r="C10" s="546"/>
      <c r="D10" s="547" t="s">
        <v>811</v>
      </c>
      <c r="E10" s="548"/>
      <c r="F10" s="551"/>
      <c r="G10" s="551"/>
      <c r="H10" s="551"/>
      <c r="I10" s="551"/>
      <c r="J10" s="1697"/>
      <c r="K10" s="1359"/>
      <c r="L10" s="1360"/>
    </row>
    <row r="11" spans="1:12">
      <c r="A11" s="550"/>
      <c r="B11" s="546"/>
      <c r="C11" s="546"/>
      <c r="D11" s="547" t="s">
        <v>814</v>
      </c>
      <c r="E11" s="548" t="s">
        <v>815</v>
      </c>
      <c r="F11" s="548"/>
      <c r="G11" s="548"/>
      <c r="H11" s="548"/>
      <c r="I11" s="548"/>
      <c r="J11" s="1697"/>
      <c r="K11" s="974"/>
      <c r="L11" s="1360"/>
    </row>
    <row r="12" spans="1:12">
      <c r="A12" s="550"/>
      <c r="B12" s="546"/>
      <c r="C12" s="546"/>
      <c r="D12" s="547" t="s">
        <v>816</v>
      </c>
      <c r="E12" s="548" t="s">
        <v>815</v>
      </c>
      <c r="F12" s="548"/>
      <c r="G12" s="548"/>
      <c r="H12" s="548"/>
      <c r="I12" s="548"/>
      <c r="J12" s="1697"/>
      <c r="K12" s="974"/>
      <c r="L12" s="749"/>
    </row>
    <row r="13" spans="1:12">
      <c r="A13" s="550"/>
      <c r="B13" s="546"/>
      <c r="C13" s="546"/>
      <c r="D13" s="547" t="s">
        <v>817</v>
      </c>
      <c r="E13" s="548" t="s">
        <v>818</v>
      </c>
      <c r="F13" s="548"/>
      <c r="G13" s="548"/>
      <c r="H13" s="548"/>
      <c r="I13" s="548"/>
      <c r="J13" s="1697"/>
      <c r="K13" s="974"/>
      <c r="L13" s="749"/>
    </row>
    <row r="14" spans="1:12">
      <c r="A14" s="550"/>
      <c r="B14" s="546"/>
      <c r="C14" s="546"/>
      <c r="D14" s="547" t="s">
        <v>819</v>
      </c>
      <c r="E14" s="548" t="s">
        <v>820</v>
      </c>
      <c r="F14" s="548"/>
      <c r="G14" s="548"/>
      <c r="H14" s="548"/>
      <c r="I14" s="548"/>
      <c r="J14" s="1697"/>
      <c r="K14" s="974"/>
      <c r="L14" s="749"/>
    </row>
    <row r="15" spans="1:12">
      <c r="A15" s="550"/>
      <c r="B15" s="546"/>
      <c r="C15" s="546"/>
      <c r="D15" s="547" t="s">
        <v>821</v>
      </c>
      <c r="E15" s="548"/>
      <c r="F15" s="548"/>
      <c r="G15" s="548"/>
      <c r="H15" s="548"/>
      <c r="I15" s="548"/>
      <c r="J15" s="1697"/>
      <c r="K15" s="974"/>
      <c r="L15" s="749"/>
    </row>
    <row r="16" spans="1:12">
      <c r="A16" s="550"/>
      <c r="B16" s="546"/>
      <c r="C16" s="546"/>
      <c r="D16" s="547" t="s">
        <v>822</v>
      </c>
      <c r="E16" s="548" t="s">
        <v>823</v>
      </c>
      <c r="F16" s="548"/>
      <c r="G16" s="548"/>
      <c r="H16" s="548"/>
      <c r="I16" s="548"/>
      <c r="J16" s="1697"/>
      <c r="K16" s="974"/>
      <c r="L16" s="749"/>
    </row>
    <row r="17" spans="1:12">
      <c r="A17" s="550"/>
      <c r="B17" s="546"/>
      <c r="C17" s="546"/>
      <c r="D17" s="547" t="s">
        <v>824</v>
      </c>
      <c r="E17" s="548" t="s">
        <v>825</v>
      </c>
      <c r="F17" s="548"/>
      <c r="G17" s="548"/>
      <c r="H17" s="548"/>
      <c r="I17" s="548"/>
      <c r="J17" s="1697"/>
      <c r="K17" s="974"/>
      <c r="L17" s="749"/>
    </row>
    <row r="18" spans="1:12">
      <c r="A18" s="550"/>
      <c r="B18" s="546"/>
      <c r="C18" s="546"/>
      <c r="D18" s="547" t="s">
        <v>826</v>
      </c>
      <c r="E18" s="548" t="s">
        <v>827</v>
      </c>
      <c r="F18" s="548"/>
      <c r="G18" s="548"/>
      <c r="H18" s="548"/>
      <c r="I18" s="548"/>
      <c r="J18" s="1697"/>
      <c r="K18" s="974"/>
      <c r="L18" s="749"/>
    </row>
    <row r="19" spans="1:12">
      <c r="A19" s="550"/>
      <c r="B19" s="546"/>
      <c r="C19" s="546"/>
      <c r="D19" s="547" t="s">
        <v>828</v>
      </c>
      <c r="E19" s="548" t="s">
        <v>829</v>
      </c>
      <c r="F19" s="548"/>
      <c r="G19" s="548"/>
      <c r="H19" s="548"/>
      <c r="I19" s="548"/>
      <c r="J19" s="1697"/>
      <c r="K19" s="974"/>
      <c r="L19" s="749"/>
    </row>
    <row r="20" spans="1:12">
      <c r="A20" s="550"/>
      <c r="B20" s="546"/>
      <c r="C20" s="546"/>
      <c r="D20" s="547" t="s">
        <v>830</v>
      </c>
      <c r="E20" s="548" t="s">
        <v>829</v>
      </c>
      <c r="F20" s="548"/>
      <c r="G20" s="548"/>
      <c r="H20" s="548"/>
      <c r="I20" s="548"/>
      <c r="J20" s="1697"/>
      <c r="K20" s="974"/>
      <c r="L20" s="749"/>
    </row>
    <row r="21" spans="1:12">
      <c r="A21" s="550"/>
      <c r="B21" s="546"/>
      <c r="C21" s="546"/>
      <c r="D21" s="547"/>
      <c r="E21" s="548"/>
      <c r="F21" s="548"/>
      <c r="G21" s="548"/>
      <c r="H21" s="548"/>
      <c r="I21" s="548"/>
      <c r="J21" s="1697"/>
      <c r="K21" s="974"/>
      <c r="L21" s="749"/>
    </row>
    <row r="22" spans="1:12">
      <c r="A22" s="550"/>
      <c r="B22" s="588" t="s">
        <v>2213</v>
      </c>
      <c r="C22" s="546"/>
      <c r="D22" s="547" t="s">
        <v>2219</v>
      </c>
      <c r="E22" s="548"/>
      <c r="F22" s="548"/>
      <c r="G22" s="548"/>
      <c r="H22" s="548"/>
      <c r="I22" s="548"/>
      <c r="J22" s="1697"/>
      <c r="K22" s="974"/>
      <c r="L22" s="749"/>
    </row>
    <row r="23" spans="1:12">
      <c r="A23" s="550"/>
      <c r="B23" s="1363"/>
      <c r="C23" s="546" t="s">
        <v>2217</v>
      </c>
      <c r="D23" s="1362" t="s">
        <v>2215</v>
      </c>
      <c r="E23" s="548"/>
      <c r="F23" s="548"/>
      <c r="G23" s="548"/>
      <c r="H23" s="548"/>
      <c r="I23" s="841" t="s">
        <v>812</v>
      </c>
      <c r="J23" s="1697"/>
      <c r="K23" s="974"/>
      <c r="L23" s="749"/>
    </row>
    <row r="24" spans="1:12">
      <c r="A24" s="550"/>
      <c r="B24" s="1363"/>
      <c r="C24" s="546"/>
      <c r="D24" s="554" t="s">
        <v>832</v>
      </c>
      <c r="E24" s="548"/>
      <c r="F24" s="548"/>
      <c r="G24" s="548"/>
      <c r="H24" s="548"/>
      <c r="I24" s="841" t="s">
        <v>812</v>
      </c>
      <c r="J24" s="1697"/>
      <c r="K24" s="974"/>
      <c r="L24" s="749"/>
    </row>
    <row r="25" spans="1:12">
      <c r="A25" s="550"/>
      <c r="B25" s="1363"/>
      <c r="C25" s="546"/>
      <c r="D25" s="554" t="s">
        <v>833</v>
      </c>
      <c r="E25" s="548"/>
      <c r="F25" s="548"/>
      <c r="G25" s="548"/>
      <c r="H25" s="548"/>
      <c r="I25" s="841" t="s">
        <v>812</v>
      </c>
      <c r="J25" s="1697"/>
      <c r="K25" s="974"/>
      <c r="L25" s="749"/>
    </row>
    <row r="26" spans="1:12">
      <c r="A26" s="550"/>
      <c r="B26" s="1363"/>
      <c r="C26" s="546"/>
      <c r="D26" s="554" t="s">
        <v>834</v>
      </c>
      <c r="E26" s="548"/>
      <c r="F26" s="548"/>
      <c r="G26" s="548"/>
      <c r="H26" s="548"/>
      <c r="I26" s="841" t="s">
        <v>812</v>
      </c>
      <c r="J26" s="1697"/>
      <c r="K26" s="974"/>
      <c r="L26" s="749"/>
    </row>
    <row r="27" spans="1:12">
      <c r="A27" s="550"/>
      <c r="B27" s="1363"/>
      <c r="C27" s="546"/>
      <c r="D27" s="554" t="s">
        <v>835</v>
      </c>
      <c r="E27" s="548"/>
      <c r="F27" s="548"/>
      <c r="G27" s="548"/>
      <c r="H27" s="548"/>
      <c r="I27" s="841" t="s">
        <v>812</v>
      </c>
      <c r="J27" s="1697"/>
      <c r="K27" s="974"/>
      <c r="L27" s="749"/>
    </row>
    <row r="28" spans="1:12">
      <c r="A28" s="550"/>
      <c r="B28" s="1363"/>
      <c r="C28" s="546"/>
      <c r="D28" s="554" t="s">
        <v>836</v>
      </c>
      <c r="E28" s="548"/>
      <c r="F28" s="548"/>
      <c r="G28" s="548"/>
      <c r="H28" s="548"/>
      <c r="I28" s="841"/>
      <c r="J28" s="1697"/>
      <c r="K28" s="974"/>
      <c r="L28" s="749"/>
    </row>
    <row r="29" spans="1:12">
      <c r="A29" s="550"/>
      <c r="B29" s="1363"/>
      <c r="C29" s="546"/>
      <c r="D29" s="554" t="s">
        <v>837</v>
      </c>
      <c r="E29" s="548"/>
      <c r="F29" s="548"/>
      <c r="G29" s="548"/>
      <c r="H29" s="548"/>
      <c r="I29" s="841"/>
      <c r="J29" s="1697"/>
      <c r="K29" s="974"/>
      <c r="L29" s="749"/>
    </row>
    <row r="30" spans="1:12">
      <c r="A30" s="550"/>
      <c r="B30" s="1363"/>
      <c r="C30" s="546"/>
      <c r="D30" s="554"/>
      <c r="E30" s="548"/>
      <c r="F30" s="548"/>
      <c r="G30" s="548"/>
      <c r="H30" s="548"/>
      <c r="I30" s="841"/>
      <c r="J30" s="1697"/>
      <c r="K30" s="974"/>
      <c r="L30" s="749"/>
    </row>
    <row r="31" spans="1:12">
      <c r="A31" s="550"/>
      <c r="B31" s="1363"/>
      <c r="C31" s="546" t="s">
        <v>2218</v>
      </c>
      <c r="D31" s="547" t="s">
        <v>2220</v>
      </c>
      <c r="E31" s="548"/>
      <c r="F31" s="548"/>
      <c r="G31" s="548"/>
      <c r="H31" s="548"/>
      <c r="I31" s="841"/>
      <c r="J31" s="1697"/>
      <c r="K31" s="974"/>
      <c r="L31" s="749"/>
    </row>
    <row r="32" spans="1:12">
      <c r="A32" s="550"/>
      <c r="B32" s="1363"/>
      <c r="C32" s="546"/>
      <c r="D32" s="1362" t="s">
        <v>2215</v>
      </c>
      <c r="E32" s="548"/>
      <c r="F32" s="548"/>
      <c r="G32" s="548"/>
      <c r="H32" s="548"/>
      <c r="I32" s="841" t="s">
        <v>812</v>
      </c>
      <c r="J32" s="1697"/>
      <c r="K32" s="974"/>
      <c r="L32" s="749"/>
    </row>
    <row r="33" spans="1:12">
      <c r="A33" s="550"/>
      <c r="B33" s="1363"/>
      <c r="C33" s="546"/>
      <c r="D33" s="554" t="s">
        <v>832</v>
      </c>
      <c r="E33" s="548"/>
      <c r="F33" s="548"/>
      <c r="G33" s="548"/>
      <c r="H33" s="548"/>
      <c r="I33" s="841" t="s">
        <v>812</v>
      </c>
      <c r="J33" s="1697"/>
      <c r="K33" s="974"/>
      <c r="L33" s="749"/>
    </row>
    <row r="34" spans="1:12">
      <c r="A34" s="550"/>
      <c r="B34" s="553"/>
      <c r="C34" s="546"/>
      <c r="D34" s="554" t="s">
        <v>833</v>
      </c>
      <c r="E34" s="548"/>
      <c r="F34" s="552"/>
      <c r="G34" s="552"/>
      <c r="H34" s="552"/>
      <c r="I34" s="841" t="s">
        <v>812</v>
      </c>
      <c r="J34" s="1697"/>
      <c r="K34" s="1361"/>
      <c r="L34" s="749"/>
    </row>
    <row r="35" spans="1:12">
      <c r="A35" s="550"/>
      <c r="B35" s="553"/>
      <c r="C35" s="555"/>
      <c r="D35" s="554" t="s">
        <v>834</v>
      </c>
      <c r="E35" s="548"/>
      <c r="F35" s="548"/>
      <c r="G35" s="548"/>
      <c r="H35" s="548"/>
      <c r="I35" s="841" t="s">
        <v>812</v>
      </c>
      <c r="J35" s="1697"/>
      <c r="K35" s="974"/>
      <c r="L35" s="749"/>
    </row>
    <row r="36" spans="1:12">
      <c r="A36" s="550"/>
      <c r="B36" s="553"/>
      <c r="C36" s="555"/>
      <c r="D36" s="554" t="s">
        <v>835</v>
      </c>
      <c r="E36" s="548"/>
      <c r="F36" s="552"/>
      <c r="G36" s="552"/>
      <c r="H36" s="552"/>
      <c r="I36" s="841" t="s">
        <v>812</v>
      </c>
      <c r="J36" s="1697"/>
      <c r="K36" s="1361"/>
      <c r="L36" s="749"/>
    </row>
    <row r="37" spans="1:12">
      <c r="A37" s="550"/>
      <c r="B37" s="553"/>
      <c r="C37" s="555"/>
      <c r="D37" s="554" t="s">
        <v>836</v>
      </c>
      <c r="E37" s="548"/>
      <c r="F37" s="552"/>
      <c r="G37" s="552"/>
      <c r="H37" s="552"/>
      <c r="I37" s="841"/>
      <c r="J37" s="1697"/>
      <c r="K37" s="1361"/>
      <c r="L37" s="749"/>
    </row>
    <row r="38" spans="1:12">
      <c r="A38" s="550"/>
      <c r="B38" s="553"/>
      <c r="C38" s="555"/>
      <c r="D38" s="554" t="s">
        <v>837</v>
      </c>
      <c r="E38" s="548"/>
      <c r="F38" s="552"/>
      <c r="G38" s="552"/>
      <c r="H38" s="552"/>
      <c r="I38" s="841"/>
      <c r="J38" s="1697"/>
      <c r="K38" s="1361"/>
      <c r="L38" s="1360"/>
    </row>
    <row r="39" spans="1:12">
      <c r="A39" s="550"/>
      <c r="B39" s="553"/>
      <c r="C39" s="546" t="s">
        <v>2221</v>
      </c>
      <c r="D39" s="554" t="s">
        <v>2222</v>
      </c>
      <c r="E39" s="548"/>
      <c r="F39" s="552"/>
      <c r="G39" s="552"/>
      <c r="H39" s="552"/>
      <c r="I39" s="841" t="s">
        <v>812</v>
      </c>
      <c r="J39" s="1748" t="s">
        <v>2225</v>
      </c>
      <c r="K39" s="1361"/>
      <c r="L39" s="1360"/>
    </row>
    <row r="40" spans="1:12">
      <c r="A40" s="550"/>
      <c r="B40" s="553"/>
      <c r="C40" s="555" t="s">
        <v>2223</v>
      </c>
      <c r="D40" s="554" t="s">
        <v>836</v>
      </c>
      <c r="E40" s="548"/>
      <c r="F40" s="552"/>
      <c r="G40" s="552"/>
      <c r="H40" s="552"/>
      <c r="I40" s="552"/>
      <c r="J40" s="1697"/>
      <c r="K40" s="1359"/>
      <c r="L40" s="749"/>
    </row>
    <row r="41" spans="1:12">
      <c r="A41" s="550"/>
      <c r="B41" s="553"/>
      <c r="C41" s="555"/>
      <c r="D41" s="554" t="s">
        <v>837</v>
      </c>
      <c r="E41" s="548"/>
      <c r="F41" s="552"/>
      <c r="G41" s="552"/>
      <c r="H41" s="552"/>
      <c r="I41" s="552"/>
      <c r="J41" s="1697"/>
      <c r="K41" s="1359"/>
      <c r="L41" s="749"/>
    </row>
    <row r="42" spans="1:12">
      <c r="A42" s="550"/>
      <c r="B42" s="553"/>
      <c r="C42" s="555"/>
      <c r="D42" s="554" t="s">
        <v>838</v>
      </c>
      <c r="E42" s="548"/>
      <c r="F42" s="548"/>
      <c r="G42" s="548"/>
      <c r="H42" s="548"/>
      <c r="I42" s="548"/>
      <c r="J42" s="1749"/>
      <c r="K42" s="974"/>
      <c r="L42" s="749"/>
    </row>
    <row r="43" spans="1:12">
      <c r="A43" s="550"/>
      <c r="B43" s="553"/>
      <c r="C43" s="589" t="s">
        <v>839</v>
      </c>
      <c r="D43" s="554" t="s">
        <v>840</v>
      </c>
      <c r="E43" s="548"/>
      <c r="F43" s="551"/>
      <c r="G43" s="551"/>
      <c r="H43" s="551"/>
      <c r="I43" s="551"/>
      <c r="J43" s="1070"/>
      <c r="K43" s="1359"/>
      <c r="L43" s="749"/>
    </row>
    <row r="44" spans="1:12">
      <c r="A44" s="550"/>
      <c r="B44" s="553"/>
      <c r="C44" s="546" t="s">
        <v>841</v>
      </c>
      <c r="D44" s="554" t="s">
        <v>842</v>
      </c>
      <c r="E44" s="548"/>
      <c r="F44" s="551"/>
      <c r="G44" s="551"/>
      <c r="H44" s="551"/>
      <c r="I44" s="551"/>
      <c r="J44" s="1070"/>
      <c r="K44" s="1359"/>
      <c r="L44" s="1360"/>
    </row>
    <row r="45" spans="1:12" ht="15" thickBot="1">
      <c r="A45" s="558"/>
      <c r="B45" s="559"/>
      <c r="C45" s="560"/>
      <c r="D45" s="561"/>
      <c r="E45" s="562"/>
      <c r="F45" s="563"/>
      <c r="G45" s="563"/>
      <c r="H45" s="563"/>
      <c r="I45" s="563"/>
      <c r="J45" s="1364"/>
      <c r="K45" s="974"/>
      <c r="L45" s="749"/>
    </row>
    <row r="50" spans="1:12" ht="18">
      <c r="A50" s="1625" t="s">
        <v>843</v>
      </c>
      <c r="B50" s="1625"/>
      <c r="C50" s="1625"/>
      <c r="D50" s="1625"/>
      <c r="E50" s="1625"/>
      <c r="F50" s="1625"/>
      <c r="G50" s="1625"/>
      <c r="H50" s="1625"/>
      <c r="I50" s="1625"/>
      <c r="J50" s="1625"/>
      <c r="K50" s="1625"/>
      <c r="L50" s="565"/>
    </row>
    <row r="51" spans="1:12" ht="15.6">
      <c r="A51" s="1675" t="s">
        <v>844</v>
      </c>
      <c r="B51" s="1675"/>
      <c r="C51" s="1675"/>
      <c r="D51" s="1675"/>
      <c r="E51" s="1675"/>
      <c r="F51" s="1675"/>
      <c r="G51" s="1675"/>
      <c r="H51" s="1675"/>
      <c r="I51" s="1675"/>
      <c r="J51" s="1675"/>
      <c r="K51" s="1675"/>
      <c r="L51" s="566"/>
    </row>
    <row r="53" spans="1:12">
      <c r="A53" s="1691" t="s">
        <v>3</v>
      </c>
      <c r="B53" s="1694" t="s">
        <v>798</v>
      </c>
      <c r="C53" s="1694" t="s">
        <v>799</v>
      </c>
      <c r="D53" s="1694" t="s">
        <v>800</v>
      </c>
      <c r="E53" s="1694" t="s">
        <v>802</v>
      </c>
      <c r="F53" s="1694"/>
      <c r="G53" s="1694"/>
      <c r="H53" s="1694"/>
      <c r="I53" s="1694"/>
      <c r="J53" s="1694"/>
      <c r="K53" s="1701" t="s">
        <v>803</v>
      </c>
      <c r="L53" s="1746"/>
    </row>
    <row r="54" spans="1:12">
      <c r="A54" s="1692"/>
      <c r="B54" s="1695"/>
      <c r="C54" s="1695"/>
      <c r="D54" s="1695"/>
      <c r="E54" s="1695" t="s">
        <v>804</v>
      </c>
      <c r="F54" s="1695"/>
      <c r="G54" s="1695"/>
      <c r="H54" s="1695"/>
      <c r="I54" s="1695"/>
      <c r="J54" s="538" t="s">
        <v>805</v>
      </c>
      <c r="K54" s="1702"/>
      <c r="L54" s="1746"/>
    </row>
    <row r="55" spans="1:12" ht="28.8">
      <c r="A55" s="1693"/>
      <c r="B55" s="1696"/>
      <c r="C55" s="1696"/>
      <c r="D55" s="1696"/>
      <c r="E55" s="539" t="s">
        <v>806</v>
      </c>
      <c r="F55" s="539" t="s">
        <v>807</v>
      </c>
      <c r="G55" s="539" t="s">
        <v>808</v>
      </c>
      <c r="H55" s="539" t="s">
        <v>845</v>
      </c>
      <c r="I55" s="539" t="s">
        <v>846</v>
      </c>
      <c r="J55" s="540" t="s">
        <v>847</v>
      </c>
      <c r="K55" s="1703"/>
      <c r="L55" s="1746"/>
    </row>
    <row r="56" spans="1:12">
      <c r="A56" s="541"/>
      <c r="B56" s="542"/>
      <c r="C56" s="542"/>
      <c r="D56" s="543"/>
      <c r="E56" s="543"/>
      <c r="F56" s="543"/>
      <c r="G56" s="543"/>
      <c r="H56" s="543"/>
      <c r="I56" s="543"/>
      <c r="J56" s="543"/>
      <c r="K56" s="567"/>
      <c r="L56" s="531"/>
    </row>
    <row r="57" spans="1:12">
      <c r="A57" s="545" t="s">
        <v>12</v>
      </c>
      <c r="B57" s="588" t="s">
        <v>848</v>
      </c>
      <c r="C57" s="546" t="s">
        <v>849</v>
      </c>
      <c r="D57" s="590" t="s">
        <v>850</v>
      </c>
      <c r="E57" s="552" t="s">
        <v>813</v>
      </c>
      <c r="F57" s="552" t="s">
        <v>813</v>
      </c>
      <c r="G57" s="552" t="s">
        <v>813</v>
      </c>
      <c r="H57" s="552" t="s">
        <v>813</v>
      </c>
      <c r="I57" s="552" t="s">
        <v>813</v>
      </c>
      <c r="J57" s="568" t="s">
        <v>812</v>
      </c>
      <c r="K57" s="569"/>
      <c r="L57" s="531"/>
    </row>
    <row r="58" spans="1:12">
      <c r="A58" s="550"/>
      <c r="B58" s="546"/>
      <c r="C58" s="546"/>
      <c r="D58" s="547" t="s">
        <v>851</v>
      </c>
      <c r="E58" s="552"/>
      <c r="F58" s="552"/>
      <c r="G58" s="552"/>
      <c r="H58" s="552"/>
      <c r="I58" s="552"/>
      <c r="J58" s="568"/>
      <c r="K58" s="570"/>
      <c r="L58" s="571"/>
    </row>
    <row r="59" spans="1:12">
      <c r="A59" s="550"/>
      <c r="B59" s="546"/>
      <c r="C59" s="546"/>
      <c r="D59" s="590" t="s">
        <v>852</v>
      </c>
      <c r="E59" s="552" t="s">
        <v>813</v>
      </c>
      <c r="F59" s="552" t="s">
        <v>813</v>
      </c>
      <c r="G59" s="552" t="s">
        <v>813</v>
      </c>
      <c r="H59" s="552" t="s">
        <v>813</v>
      </c>
      <c r="I59" s="552" t="s">
        <v>813</v>
      </c>
      <c r="J59" s="568" t="s">
        <v>812</v>
      </c>
      <c r="K59" s="569"/>
      <c r="L59" s="571"/>
    </row>
    <row r="60" spans="1:12">
      <c r="A60" s="550"/>
      <c r="B60" s="546"/>
      <c r="C60" s="546"/>
      <c r="D60" s="590" t="s">
        <v>853</v>
      </c>
      <c r="E60" s="552" t="s">
        <v>813</v>
      </c>
      <c r="F60" s="552" t="s">
        <v>813</v>
      </c>
      <c r="G60" s="552" t="s">
        <v>813</v>
      </c>
      <c r="H60" s="552" t="s">
        <v>813</v>
      </c>
      <c r="I60" s="552" t="s">
        <v>813</v>
      </c>
      <c r="J60" s="568" t="s">
        <v>812</v>
      </c>
      <c r="K60" s="569"/>
      <c r="L60" s="531"/>
    </row>
    <row r="61" spans="1:12">
      <c r="A61" s="550"/>
      <c r="B61" s="546"/>
      <c r="C61" s="546"/>
      <c r="D61" s="547" t="s">
        <v>854</v>
      </c>
      <c r="E61" s="552"/>
      <c r="F61" s="552"/>
      <c r="G61" s="552"/>
      <c r="H61" s="552"/>
      <c r="I61" s="552"/>
      <c r="J61" s="568"/>
      <c r="K61" s="569"/>
      <c r="L61" s="531"/>
    </row>
    <row r="62" spans="1:12">
      <c r="A62" s="550"/>
      <c r="B62" s="546"/>
      <c r="C62" s="546"/>
      <c r="D62" s="590" t="s">
        <v>855</v>
      </c>
      <c r="E62" s="552" t="s">
        <v>813</v>
      </c>
      <c r="F62" s="552" t="s">
        <v>813</v>
      </c>
      <c r="G62" s="552" t="s">
        <v>813</v>
      </c>
      <c r="H62" s="552" t="s">
        <v>813</v>
      </c>
      <c r="I62" s="552" t="s">
        <v>813</v>
      </c>
      <c r="J62" s="568" t="s">
        <v>812</v>
      </c>
      <c r="K62" s="569"/>
      <c r="L62" s="531"/>
    </row>
    <row r="63" spans="1:12">
      <c r="A63" s="550"/>
      <c r="B63" s="546"/>
      <c r="C63" s="546"/>
      <c r="D63" s="547" t="s">
        <v>856</v>
      </c>
      <c r="E63" s="548"/>
      <c r="F63" s="548"/>
      <c r="G63" s="548"/>
      <c r="H63" s="548"/>
      <c r="I63" s="548"/>
      <c r="J63" s="548"/>
      <c r="K63" s="569"/>
      <c r="L63" s="531"/>
    </row>
    <row r="64" spans="1:12">
      <c r="A64" s="550"/>
      <c r="B64" s="546"/>
      <c r="C64" s="546"/>
      <c r="D64" s="547"/>
      <c r="E64" s="548"/>
      <c r="F64" s="548"/>
      <c r="G64" s="548"/>
      <c r="H64" s="548"/>
      <c r="I64" s="548"/>
      <c r="J64" s="548"/>
      <c r="K64" s="569"/>
      <c r="L64" s="531"/>
    </row>
    <row r="65" spans="1:12">
      <c r="A65" s="550"/>
      <c r="B65" s="546"/>
      <c r="C65" s="589" t="s">
        <v>857</v>
      </c>
      <c r="D65" s="590" t="s">
        <v>858</v>
      </c>
      <c r="E65" s="568" t="s">
        <v>812</v>
      </c>
      <c r="F65" s="568" t="s">
        <v>812</v>
      </c>
      <c r="G65" s="548"/>
      <c r="H65" s="548"/>
      <c r="I65" s="548"/>
      <c r="J65" s="548"/>
      <c r="K65" s="569"/>
      <c r="L65" s="531"/>
    </row>
    <row r="66" spans="1:12">
      <c r="A66" s="550"/>
      <c r="B66" s="546"/>
      <c r="C66" s="546"/>
      <c r="D66" s="590" t="s">
        <v>859</v>
      </c>
      <c r="E66" s="568" t="s">
        <v>812</v>
      </c>
      <c r="F66" s="568" t="s">
        <v>812</v>
      </c>
      <c r="G66" s="548"/>
      <c r="H66" s="548"/>
      <c r="I66" s="548"/>
      <c r="J66" s="548"/>
      <c r="K66" s="569"/>
      <c r="L66" s="531"/>
    </row>
    <row r="67" spans="1:12">
      <c r="A67" s="550"/>
      <c r="B67" s="546"/>
      <c r="C67" s="546"/>
      <c r="D67" s="547" t="s">
        <v>860</v>
      </c>
      <c r="E67" s="548"/>
      <c r="F67" s="548"/>
      <c r="G67" s="548"/>
      <c r="H67" s="548"/>
      <c r="I67" s="548"/>
      <c r="J67" s="548"/>
      <c r="K67" s="569"/>
      <c r="L67" s="531"/>
    </row>
    <row r="68" spans="1:12">
      <c r="A68" s="558"/>
      <c r="B68" s="559"/>
      <c r="C68" s="560"/>
      <c r="D68" s="561"/>
      <c r="E68" s="562"/>
      <c r="F68" s="563"/>
      <c r="G68" s="563"/>
      <c r="H68" s="563"/>
      <c r="I68" s="563"/>
      <c r="J68" s="563"/>
      <c r="K68" s="572"/>
      <c r="L68" s="531"/>
    </row>
    <row r="73" spans="1:12" ht="18">
      <c r="A73" s="1625" t="s">
        <v>861</v>
      </c>
      <c r="B73" s="1625"/>
      <c r="C73" s="1625"/>
      <c r="D73" s="1625"/>
      <c r="E73" s="1625"/>
      <c r="F73" s="1625"/>
      <c r="G73" s="1625"/>
      <c r="H73" s="1625"/>
      <c r="I73" s="1625"/>
      <c r="J73" s="1625"/>
      <c r="K73" s="1625"/>
    </row>
    <row r="74" spans="1:12" ht="15.6">
      <c r="A74" s="1675" t="s">
        <v>862</v>
      </c>
      <c r="B74" s="1675"/>
      <c r="C74" s="1675"/>
      <c r="D74" s="1675"/>
      <c r="E74" s="1675"/>
      <c r="F74" s="1675"/>
      <c r="G74" s="1675"/>
      <c r="H74" s="1675"/>
      <c r="I74" s="1675"/>
      <c r="J74" s="1675"/>
      <c r="K74" s="1675"/>
    </row>
    <row r="76" spans="1:12">
      <c r="A76" s="1691" t="s">
        <v>3</v>
      </c>
      <c r="B76" s="1694" t="s">
        <v>798</v>
      </c>
      <c r="C76" s="1694" t="s">
        <v>799</v>
      </c>
      <c r="D76" s="1694" t="s">
        <v>800</v>
      </c>
      <c r="E76" s="1694" t="s">
        <v>802</v>
      </c>
      <c r="F76" s="1694"/>
      <c r="G76" s="1694"/>
      <c r="H76" s="1694"/>
      <c r="I76" s="1694"/>
      <c r="J76" s="1694"/>
      <c r="K76" s="1701" t="s">
        <v>803</v>
      </c>
    </row>
    <row r="77" spans="1:12">
      <c r="A77" s="1692"/>
      <c r="B77" s="1695"/>
      <c r="C77" s="1695"/>
      <c r="D77" s="1695"/>
      <c r="E77" s="573" t="s">
        <v>804</v>
      </c>
      <c r="F77" s="573"/>
      <c r="G77" s="573"/>
      <c r="H77" s="573"/>
      <c r="I77" s="1695" t="s">
        <v>805</v>
      </c>
      <c r="J77" s="1762"/>
      <c r="K77" s="1702"/>
    </row>
    <row r="78" spans="1:12" ht="28.8">
      <c r="A78" s="1693"/>
      <c r="B78" s="1696"/>
      <c r="C78" s="1696"/>
      <c r="D78" s="1696"/>
      <c r="E78" s="539" t="s">
        <v>806</v>
      </c>
      <c r="F78" s="539" t="s">
        <v>807</v>
      </c>
      <c r="G78" s="539" t="s">
        <v>808</v>
      </c>
      <c r="H78" s="539" t="s">
        <v>845</v>
      </c>
      <c r="I78" s="574" t="s">
        <v>863</v>
      </c>
      <c r="J78" s="540" t="s">
        <v>864</v>
      </c>
      <c r="K78" s="1703"/>
    </row>
    <row r="79" spans="1:12">
      <c r="A79" s="541"/>
      <c r="B79" s="542"/>
      <c r="C79" s="542"/>
      <c r="D79" s="543"/>
      <c r="E79" s="543"/>
      <c r="F79" s="543"/>
      <c r="G79" s="543"/>
      <c r="H79" s="543"/>
      <c r="I79" s="543"/>
      <c r="J79" s="543"/>
      <c r="K79" s="567"/>
    </row>
    <row r="80" spans="1:12">
      <c r="A80" s="545" t="s">
        <v>12</v>
      </c>
      <c r="B80" s="588" t="s">
        <v>865</v>
      </c>
      <c r="C80" s="546" t="s">
        <v>866</v>
      </c>
      <c r="D80" s="590" t="s">
        <v>867</v>
      </c>
      <c r="E80" s="575" t="s">
        <v>812</v>
      </c>
      <c r="F80" s="575" t="s">
        <v>812</v>
      </c>
      <c r="G80" s="575" t="s">
        <v>812</v>
      </c>
      <c r="H80" s="575" t="s">
        <v>812</v>
      </c>
      <c r="I80" s="552" t="s">
        <v>813</v>
      </c>
      <c r="J80" s="552" t="s">
        <v>813</v>
      </c>
      <c r="K80" s="569"/>
    </row>
    <row r="81" spans="1:11">
      <c r="A81" s="550"/>
      <c r="B81" s="546"/>
      <c r="C81" s="546"/>
      <c r="D81" s="590" t="s">
        <v>868</v>
      </c>
      <c r="E81" s="575" t="s">
        <v>812</v>
      </c>
      <c r="F81" s="575" t="s">
        <v>812</v>
      </c>
      <c r="G81" s="575" t="s">
        <v>812</v>
      </c>
      <c r="H81" s="575" t="s">
        <v>812</v>
      </c>
      <c r="I81" s="552" t="s">
        <v>813</v>
      </c>
      <c r="J81" s="552" t="s">
        <v>813</v>
      </c>
      <c r="K81" s="570"/>
    </row>
    <row r="82" spans="1:11">
      <c r="A82" s="550"/>
      <c r="B82" s="546"/>
      <c r="C82" s="546"/>
      <c r="D82" s="547" t="s">
        <v>869</v>
      </c>
      <c r="E82" s="552"/>
      <c r="F82" s="552"/>
      <c r="G82" s="552"/>
      <c r="H82" s="552"/>
      <c r="I82" s="552"/>
      <c r="J82" s="568"/>
      <c r="K82" s="569"/>
    </row>
    <row r="83" spans="1:11">
      <c r="A83" s="550"/>
      <c r="B83" s="546"/>
      <c r="C83" s="546"/>
      <c r="D83" s="590" t="s">
        <v>870</v>
      </c>
      <c r="E83" s="575" t="s">
        <v>812</v>
      </c>
      <c r="F83" s="575" t="s">
        <v>812</v>
      </c>
      <c r="G83" s="575" t="s">
        <v>812</v>
      </c>
      <c r="H83" s="575" t="s">
        <v>812</v>
      </c>
      <c r="I83" s="552" t="s">
        <v>813</v>
      </c>
      <c r="J83" s="552" t="s">
        <v>813</v>
      </c>
      <c r="K83" s="569"/>
    </row>
    <row r="84" spans="1:11">
      <c r="A84" s="550"/>
      <c r="B84" s="546"/>
      <c r="C84" s="546"/>
      <c r="D84" s="590" t="s">
        <v>871</v>
      </c>
      <c r="E84" s="575" t="s">
        <v>812</v>
      </c>
      <c r="F84" s="575" t="s">
        <v>812</v>
      </c>
      <c r="G84" s="575" t="s">
        <v>812</v>
      </c>
      <c r="H84" s="575" t="s">
        <v>812</v>
      </c>
      <c r="I84" s="552" t="s">
        <v>813</v>
      </c>
      <c r="J84" s="552" t="s">
        <v>813</v>
      </c>
      <c r="K84" s="569"/>
    </row>
    <row r="85" spans="1:11">
      <c r="A85" s="550"/>
      <c r="B85" s="546"/>
      <c r="C85" s="546"/>
      <c r="D85" s="590" t="s">
        <v>872</v>
      </c>
      <c r="E85" s="575" t="s">
        <v>812</v>
      </c>
      <c r="F85" s="575" t="s">
        <v>812</v>
      </c>
      <c r="G85" s="575" t="s">
        <v>812</v>
      </c>
      <c r="H85" s="575" t="s">
        <v>812</v>
      </c>
      <c r="I85" s="552" t="s">
        <v>813</v>
      </c>
      <c r="J85" s="552" t="s">
        <v>813</v>
      </c>
      <c r="K85" s="569"/>
    </row>
    <row r="86" spans="1:11">
      <c r="A86" s="550"/>
      <c r="B86" s="546"/>
      <c r="C86" s="546"/>
      <c r="D86" s="547"/>
      <c r="E86" s="548"/>
      <c r="F86" s="548"/>
      <c r="G86" s="548"/>
      <c r="H86" s="548"/>
      <c r="I86" s="548"/>
      <c r="J86" s="548"/>
      <c r="K86" s="569"/>
    </row>
    <row r="87" spans="1:11">
      <c r="A87" s="550"/>
      <c r="B87" s="546"/>
      <c r="C87" s="546" t="s">
        <v>873</v>
      </c>
      <c r="D87" s="590" t="s">
        <v>874</v>
      </c>
      <c r="E87" s="552" t="s">
        <v>813</v>
      </c>
      <c r="F87" s="552" t="s">
        <v>813</v>
      </c>
      <c r="G87" s="552" t="s">
        <v>813</v>
      </c>
      <c r="H87" s="552" t="s">
        <v>813</v>
      </c>
      <c r="I87" s="575" t="s">
        <v>812</v>
      </c>
      <c r="J87" s="575" t="s">
        <v>812</v>
      </c>
      <c r="K87" s="576" t="s">
        <v>875</v>
      </c>
    </row>
    <row r="88" spans="1:11">
      <c r="A88" s="550"/>
      <c r="B88" s="546"/>
      <c r="C88" s="557"/>
      <c r="D88" s="590" t="s">
        <v>876</v>
      </c>
      <c r="E88" s="552" t="s">
        <v>813</v>
      </c>
      <c r="F88" s="552" t="s">
        <v>813</v>
      </c>
      <c r="G88" s="552" t="s">
        <v>813</v>
      </c>
      <c r="H88" s="552" t="s">
        <v>813</v>
      </c>
      <c r="I88" s="575" t="s">
        <v>812</v>
      </c>
      <c r="J88" s="575" t="s">
        <v>812</v>
      </c>
      <c r="K88" s="577" t="s">
        <v>877</v>
      </c>
    </row>
    <row r="89" spans="1:11">
      <c r="A89" s="550"/>
      <c r="B89" s="546"/>
      <c r="C89" s="546"/>
      <c r="D89" s="547"/>
      <c r="E89" s="568"/>
      <c r="F89" s="568"/>
      <c r="G89" s="548"/>
      <c r="H89" s="548"/>
      <c r="I89" s="548"/>
      <c r="J89" s="548"/>
      <c r="K89" s="569"/>
    </row>
    <row r="90" spans="1:11">
      <c r="A90" s="550"/>
      <c r="B90" s="546"/>
      <c r="C90" s="546" t="s">
        <v>878</v>
      </c>
      <c r="D90" s="590" t="s">
        <v>879</v>
      </c>
      <c r="E90" s="548"/>
      <c r="F90" s="548"/>
      <c r="G90" s="548"/>
      <c r="H90" s="548"/>
      <c r="I90" s="548"/>
      <c r="J90" s="548"/>
      <c r="K90" s="569"/>
    </row>
    <row r="91" spans="1:11">
      <c r="A91" s="550"/>
      <c r="B91" s="553"/>
      <c r="C91" s="546"/>
      <c r="D91" s="578"/>
      <c r="E91" s="579"/>
      <c r="F91" s="579"/>
      <c r="G91" s="579"/>
      <c r="H91" s="579"/>
      <c r="I91" s="579"/>
      <c r="J91" s="579"/>
      <c r="K91" s="576"/>
    </row>
    <row r="92" spans="1:11">
      <c r="A92" s="550"/>
      <c r="B92" s="553"/>
      <c r="C92" s="589" t="s">
        <v>839</v>
      </c>
      <c r="D92" s="590" t="s">
        <v>858</v>
      </c>
      <c r="E92" s="575" t="s">
        <v>812</v>
      </c>
      <c r="F92" s="575" t="s">
        <v>812</v>
      </c>
      <c r="G92" s="579"/>
      <c r="H92" s="579"/>
      <c r="I92" s="552" t="s">
        <v>813</v>
      </c>
      <c r="J92" s="552" t="s">
        <v>813</v>
      </c>
      <c r="K92" s="576"/>
    </row>
    <row r="93" spans="1:11">
      <c r="A93" s="550"/>
      <c r="B93" s="553"/>
      <c r="C93" s="546"/>
      <c r="D93" s="590" t="s">
        <v>880</v>
      </c>
      <c r="E93" s="579"/>
      <c r="F93" s="579"/>
      <c r="G93" s="579"/>
      <c r="H93" s="579"/>
      <c r="I93" s="579"/>
      <c r="J93" s="579"/>
      <c r="K93" s="576"/>
    </row>
    <row r="94" spans="1:11">
      <c r="A94" s="550"/>
      <c r="B94" s="553"/>
      <c r="C94" s="546"/>
      <c r="D94" s="578"/>
      <c r="E94" s="579"/>
      <c r="F94" s="579"/>
      <c r="G94" s="579"/>
      <c r="H94" s="579"/>
      <c r="I94" s="579"/>
      <c r="J94" s="579"/>
      <c r="K94" s="576"/>
    </row>
    <row r="95" spans="1:11">
      <c r="A95" s="558"/>
      <c r="B95" s="559"/>
      <c r="C95" s="560"/>
      <c r="D95" s="561"/>
      <c r="E95" s="562"/>
      <c r="F95" s="563"/>
      <c r="G95" s="563"/>
      <c r="H95" s="563"/>
      <c r="I95" s="563"/>
      <c r="J95" s="563"/>
      <c r="K95" s="572"/>
    </row>
    <row r="100" spans="1:12" ht="18">
      <c r="A100" s="1625" t="s">
        <v>843</v>
      </c>
      <c r="B100" s="1625"/>
      <c r="C100" s="1625"/>
      <c r="D100" s="1625"/>
      <c r="E100" s="1625"/>
      <c r="F100" s="1625"/>
      <c r="G100" s="1625"/>
      <c r="H100" s="1625"/>
      <c r="I100" s="1625"/>
      <c r="J100" s="1625"/>
      <c r="K100" s="1625"/>
      <c r="L100" s="1625"/>
    </row>
    <row r="101" spans="1:12" ht="15.6">
      <c r="A101" s="1675" t="s">
        <v>1176</v>
      </c>
      <c r="B101" s="1675"/>
      <c r="C101" s="1675"/>
      <c r="D101" s="1675"/>
      <c r="E101" s="1675"/>
      <c r="F101" s="1675"/>
      <c r="G101" s="1675"/>
      <c r="H101" s="1675"/>
      <c r="I101" s="1675"/>
      <c r="J101" s="1675"/>
      <c r="K101" s="1675"/>
      <c r="L101" s="1675"/>
    </row>
    <row r="102" spans="1:12" ht="15" thickBot="1"/>
    <row r="103" spans="1:12" ht="15" customHeight="1">
      <c r="A103" s="1753" t="s">
        <v>3</v>
      </c>
      <c r="B103" s="1756" t="s">
        <v>798</v>
      </c>
      <c r="C103" s="1756" t="s">
        <v>799</v>
      </c>
      <c r="D103" s="1756" t="s">
        <v>800</v>
      </c>
      <c r="E103" s="1756" t="s">
        <v>801</v>
      </c>
      <c r="F103" s="1756" t="s">
        <v>802</v>
      </c>
      <c r="G103" s="1756"/>
      <c r="H103" s="1756"/>
      <c r="I103" s="1756"/>
      <c r="J103" s="1756"/>
      <c r="K103" s="1756" t="s">
        <v>1208</v>
      </c>
      <c r="L103" s="1759" t="s">
        <v>803</v>
      </c>
    </row>
    <row r="104" spans="1:12">
      <c r="A104" s="1754"/>
      <c r="B104" s="1757"/>
      <c r="C104" s="1757"/>
      <c r="D104" s="1757"/>
      <c r="E104" s="1757"/>
      <c r="F104" s="1757" t="s">
        <v>804</v>
      </c>
      <c r="G104" s="1757"/>
      <c r="H104" s="1757"/>
      <c r="I104" s="1757"/>
      <c r="J104" s="1763" t="s">
        <v>805</v>
      </c>
      <c r="K104" s="1757"/>
      <c r="L104" s="1760"/>
    </row>
    <row r="105" spans="1:12" ht="15" thickBot="1">
      <c r="A105" s="1755"/>
      <c r="B105" s="1758"/>
      <c r="C105" s="1758"/>
      <c r="D105" s="1758"/>
      <c r="E105" s="1758"/>
      <c r="F105" s="863" t="s">
        <v>806</v>
      </c>
      <c r="G105" s="863" t="s">
        <v>807</v>
      </c>
      <c r="H105" s="863" t="s">
        <v>808</v>
      </c>
      <c r="I105" s="863" t="s">
        <v>845</v>
      </c>
      <c r="J105" s="1764"/>
      <c r="K105" s="1758"/>
      <c r="L105" s="1761"/>
    </row>
    <row r="106" spans="1:12">
      <c r="A106" s="541"/>
      <c r="B106" s="542"/>
      <c r="C106" s="542"/>
      <c r="D106" s="542"/>
      <c r="E106" s="840"/>
      <c r="F106" s="840"/>
      <c r="G106" s="840"/>
      <c r="H106" s="840"/>
      <c r="I106" s="840"/>
      <c r="J106" s="840"/>
      <c r="K106" s="845"/>
      <c r="L106" s="567"/>
    </row>
    <row r="107" spans="1:12">
      <c r="A107" s="545" t="s">
        <v>12</v>
      </c>
      <c r="B107" s="837" t="s">
        <v>1177</v>
      </c>
      <c r="C107" s="1773" t="s">
        <v>1178</v>
      </c>
      <c r="D107" s="861" t="s">
        <v>810</v>
      </c>
      <c r="E107" s="842"/>
      <c r="F107" s="842"/>
      <c r="G107" s="842"/>
      <c r="H107" s="842"/>
      <c r="I107" s="842"/>
      <c r="J107" s="842"/>
      <c r="K107" s="857"/>
      <c r="L107" s="576"/>
    </row>
    <row r="108" spans="1:12">
      <c r="A108" s="550"/>
      <c r="B108" s="546"/>
      <c r="C108" s="1775"/>
      <c r="D108" s="862" t="s">
        <v>1179</v>
      </c>
      <c r="E108" s="855"/>
      <c r="F108" s="855"/>
      <c r="G108" s="855"/>
      <c r="H108" s="855"/>
      <c r="I108" s="855"/>
      <c r="J108" s="855"/>
      <c r="K108" s="859"/>
      <c r="L108" s="860"/>
    </row>
    <row r="109" spans="1:12">
      <c r="A109" s="550"/>
      <c r="B109" s="546"/>
      <c r="C109" s="1775"/>
      <c r="D109" s="839" t="s">
        <v>1180</v>
      </c>
      <c r="E109" s="841" t="s">
        <v>1203</v>
      </c>
      <c r="F109" s="841"/>
      <c r="G109" s="841"/>
      <c r="H109" s="841"/>
      <c r="I109" s="841"/>
      <c r="J109" s="841"/>
      <c r="K109" s="846"/>
      <c r="L109" s="569"/>
    </row>
    <row r="110" spans="1:12">
      <c r="A110" s="550"/>
      <c r="B110" s="546"/>
      <c r="C110" s="1775"/>
      <c r="D110" s="839" t="s">
        <v>1181</v>
      </c>
      <c r="E110" s="841" t="s">
        <v>1204</v>
      </c>
      <c r="F110" s="841"/>
      <c r="G110" s="841"/>
      <c r="H110" s="841"/>
      <c r="I110" s="841"/>
      <c r="J110" s="841"/>
      <c r="K110" s="846"/>
      <c r="L110" s="569"/>
    </row>
    <row r="111" spans="1:12">
      <c r="A111" s="550"/>
      <c r="B111" s="546"/>
      <c r="C111" s="1775"/>
      <c r="D111" s="850" t="s">
        <v>1182</v>
      </c>
      <c r="E111" s="1781" t="s">
        <v>1205</v>
      </c>
      <c r="F111" s="842"/>
      <c r="G111" s="842"/>
      <c r="H111" s="842"/>
      <c r="I111" s="842"/>
      <c r="J111" s="842"/>
      <c r="K111" s="857"/>
      <c r="L111" s="576"/>
    </row>
    <row r="112" spans="1:12">
      <c r="A112" s="550"/>
      <c r="B112" s="546"/>
      <c r="C112" s="1775"/>
      <c r="D112" s="853" t="s">
        <v>1183</v>
      </c>
      <c r="E112" s="1782"/>
      <c r="F112" s="855"/>
      <c r="G112" s="855"/>
      <c r="H112" s="855"/>
      <c r="I112" s="855"/>
      <c r="J112" s="855"/>
      <c r="K112" s="858"/>
      <c r="L112" s="577"/>
    </row>
    <row r="113" spans="1:12">
      <c r="A113" s="550"/>
      <c r="B113" s="546"/>
      <c r="C113" s="1775"/>
      <c r="D113" s="839" t="s">
        <v>1184</v>
      </c>
      <c r="E113" s="841"/>
      <c r="F113" s="841"/>
      <c r="G113" s="841"/>
      <c r="H113" s="841"/>
      <c r="I113" s="841"/>
      <c r="J113" s="841"/>
      <c r="K113" s="846"/>
      <c r="L113" s="569"/>
    </row>
    <row r="114" spans="1:12">
      <c r="A114" s="550"/>
      <c r="B114" s="546"/>
      <c r="C114" s="1774"/>
      <c r="D114" s="851"/>
      <c r="E114" s="841"/>
      <c r="F114" s="841"/>
      <c r="G114" s="841"/>
      <c r="H114" s="841"/>
      <c r="I114" s="841"/>
      <c r="J114" s="841"/>
      <c r="K114" s="846"/>
      <c r="L114" s="569"/>
    </row>
    <row r="115" spans="1:12">
      <c r="A115" s="550"/>
      <c r="B115" s="546"/>
      <c r="C115" s="557"/>
      <c r="D115" s="862" t="s">
        <v>831</v>
      </c>
      <c r="E115" s="841"/>
      <c r="F115" s="841"/>
      <c r="G115" s="841"/>
      <c r="H115" s="841"/>
      <c r="I115" s="841"/>
      <c r="J115" s="841"/>
      <c r="K115" s="846"/>
      <c r="L115" s="569"/>
    </row>
    <row r="116" spans="1:12">
      <c r="A116" s="550"/>
      <c r="B116" s="546"/>
      <c r="C116" s="1773" t="s">
        <v>1188</v>
      </c>
      <c r="D116" s="850" t="s">
        <v>1185</v>
      </c>
      <c r="E116" s="1781" t="s">
        <v>126</v>
      </c>
      <c r="F116" s="1733" t="s">
        <v>813</v>
      </c>
      <c r="G116" s="1733" t="s">
        <v>813</v>
      </c>
      <c r="H116" s="1733" t="s">
        <v>813</v>
      </c>
      <c r="I116" s="1733" t="s">
        <v>813</v>
      </c>
      <c r="J116" s="842"/>
      <c r="K116" s="857"/>
      <c r="L116" s="576"/>
    </row>
    <row r="117" spans="1:12">
      <c r="A117" s="550"/>
      <c r="B117" s="546"/>
      <c r="C117" s="1775"/>
      <c r="D117" s="854" t="s">
        <v>1186</v>
      </c>
      <c r="E117" s="1782"/>
      <c r="F117" s="1735"/>
      <c r="G117" s="1735"/>
      <c r="H117" s="1735"/>
      <c r="I117" s="1735"/>
      <c r="J117" s="855"/>
      <c r="K117" s="858"/>
      <c r="L117" s="577"/>
    </row>
    <row r="118" spans="1:12">
      <c r="A118" s="550"/>
      <c r="B118" s="553"/>
      <c r="C118" s="1775"/>
      <c r="D118" s="853" t="s">
        <v>1187</v>
      </c>
      <c r="E118" s="1778" t="s">
        <v>1206</v>
      </c>
      <c r="F118" s="842"/>
      <c r="G118" s="842"/>
      <c r="H118" s="842"/>
      <c r="I118" s="842"/>
      <c r="J118" s="842"/>
      <c r="K118" s="1776" t="s">
        <v>1210</v>
      </c>
      <c r="L118" s="1765" t="s">
        <v>1215</v>
      </c>
    </row>
    <row r="119" spans="1:12">
      <c r="A119" s="550"/>
      <c r="B119" s="553"/>
      <c r="C119" s="1775"/>
      <c r="D119" s="853" t="s">
        <v>1190</v>
      </c>
      <c r="E119" s="1778"/>
      <c r="F119" s="856"/>
      <c r="G119" s="856"/>
      <c r="H119" s="856"/>
      <c r="I119" s="856"/>
      <c r="J119" s="856"/>
      <c r="K119" s="1777"/>
      <c r="L119" s="1766"/>
    </row>
    <row r="120" spans="1:12">
      <c r="A120" s="550"/>
      <c r="B120" s="553"/>
      <c r="C120" s="1774"/>
      <c r="D120" s="854" t="s">
        <v>1189</v>
      </c>
      <c r="E120" s="1778"/>
      <c r="F120" s="855"/>
      <c r="G120" s="855"/>
      <c r="H120" s="855"/>
      <c r="I120" s="855"/>
      <c r="J120" s="855"/>
      <c r="K120" s="1777"/>
      <c r="L120" s="1766"/>
    </row>
    <row r="121" spans="1:12">
      <c r="A121" s="550"/>
      <c r="B121" s="553"/>
      <c r="C121" s="838" t="s">
        <v>1192</v>
      </c>
      <c r="D121" s="853" t="s">
        <v>1191</v>
      </c>
      <c r="E121" s="841"/>
      <c r="F121" s="841"/>
      <c r="G121" s="841"/>
      <c r="H121" s="841"/>
      <c r="I121" s="841"/>
      <c r="J121" s="864" t="s">
        <v>812</v>
      </c>
      <c r="K121" s="847" t="s">
        <v>1211</v>
      </c>
      <c r="L121" s="848" t="s">
        <v>1212</v>
      </c>
    </row>
    <row r="122" spans="1:12">
      <c r="A122" s="550"/>
      <c r="B122" s="553"/>
      <c r="C122" s="1773" t="s">
        <v>1193</v>
      </c>
      <c r="D122" s="850" t="s">
        <v>1194</v>
      </c>
      <c r="E122" s="1778" t="s">
        <v>815</v>
      </c>
      <c r="F122" s="842"/>
      <c r="G122" s="842"/>
      <c r="H122" s="842"/>
      <c r="I122" s="842"/>
      <c r="J122" s="1771" t="s">
        <v>812</v>
      </c>
      <c r="K122" s="1776" t="s">
        <v>1209</v>
      </c>
      <c r="L122" s="1767" t="s">
        <v>1213</v>
      </c>
    </row>
    <row r="123" spans="1:12">
      <c r="A123" s="550"/>
      <c r="B123" s="553"/>
      <c r="C123" s="1774"/>
      <c r="D123" s="854" t="s">
        <v>1183</v>
      </c>
      <c r="E123" s="1778"/>
      <c r="F123" s="855"/>
      <c r="G123" s="855"/>
      <c r="H123" s="855"/>
      <c r="I123" s="855"/>
      <c r="J123" s="1772"/>
      <c r="K123" s="1777"/>
      <c r="L123" s="1768"/>
    </row>
    <row r="124" spans="1:12">
      <c r="A124" s="550"/>
      <c r="B124" s="553"/>
      <c r="C124" s="1773" t="s">
        <v>1195</v>
      </c>
      <c r="D124" s="850" t="s">
        <v>1196</v>
      </c>
      <c r="E124" s="842"/>
      <c r="F124" s="842"/>
      <c r="G124" s="842"/>
      <c r="H124" s="842"/>
      <c r="I124" s="842"/>
      <c r="J124" s="1771" t="s">
        <v>812</v>
      </c>
      <c r="K124" s="857"/>
      <c r="L124" s="576"/>
    </row>
    <row r="125" spans="1:12">
      <c r="A125" s="550"/>
      <c r="B125" s="553"/>
      <c r="C125" s="1774"/>
      <c r="D125" s="854" t="s">
        <v>1197</v>
      </c>
      <c r="E125" s="855"/>
      <c r="F125" s="855"/>
      <c r="G125" s="855"/>
      <c r="H125" s="855"/>
      <c r="I125" s="855"/>
      <c r="J125" s="1772"/>
      <c r="K125" s="858"/>
      <c r="L125" s="577"/>
    </row>
    <row r="126" spans="1:12">
      <c r="A126" s="550"/>
      <c r="B126" s="553"/>
      <c r="C126" s="838" t="s">
        <v>1198</v>
      </c>
      <c r="D126" s="853" t="s">
        <v>1199</v>
      </c>
      <c r="E126" s="841"/>
      <c r="F126" s="841"/>
      <c r="G126" s="841"/>
      <c r="H126" s="841"/>
      <c r="I126" s="841"/>
      <c r="J126" s="864" t="s">
        <v>812</v>
      </c>
      <c r="K126" s="847" t="s">
        <v>1209</v>
      </c>
      <c r="L126" s="848" t="s">
        <v>1214</v>
      </c>
    </row>
    <row r="127" spans="1:12">
      <c r="A127" s="550"/>
      <c r="B127" s="553"/>
      <c r="C127" s="1779" t="s">
        <v>1200</v>
      </c>
      <c r="D127" s="850" t="s">
        <v>1201</v>
      </c>
      <c r="E127" s="1778" t="s">
        <v>1207</v>
      </c>
      <c r="F127" s="1771" t="s">
        <v>812</v>
      </c>
      <c r="G127" s="842"/>
      <c r="H127" s="842"/>
      <c r="I127" s="1771" t="s">
        <v>812</v>
      </c>
      <c r="J127" s="1771" t="s">
        <v>812</v>
      </c>
      <c r="K127" s="1769" t="s">
        <v>1209</v>
      </c>
      <c r="L127" s="1765" t="s">
        <v>1214</v>
      </c>
    </row>
    <row r="128" spans="1:12">
      <c r="A128" s="550"/>
      <c r="B128" s="553"/>
      <c r="C128" s="1780"/>
      <c r="D128" s="852" t="s">
        <v>1202</v>
      </c>
      <c r="E128" s="1778"/>
      <c r="F128" s="1772"/>
      <c r="G128" s="855"/>
      <c r="H128" s="855"/>
      <c r="I128" s="1772"/>
      <c r="J128" s="1772"/>
      <c r="K128" s="1770"/>
      <c r="L128" s="1766"/>
    </row>
    <row r="129" spans="1:12">
      <c r="A129" s="550"/>
      <c r="B129" s="553"/>
      <c r="C129" s="546"/>
      <c r="D129" s="851"/>
      <c r="E129" s="841"/>
      <c r="F129" s="841"/>
      <c r="G129" s="841"/>
      <c r="H129" s="841"/>
      <c r="I129" s="841"/>
      <c r="J129" s="841"/>
      <c r="K129" s="846"/>
      <c r="L129" s="569"/>
    </row>
    <row r="130" spans="1:12">
      <c r="A130" s="550"/>
      <c r="B130" s="553"/>
      <c r="C130" s="546"/>
      <c r="D130" s="547"/>
      <c r="E130" s="841"/>
      <c r="F130" s="841"/>
      <c r="G130" s="841"/>
      <c r="H130" s="841"/>
      <c r="I130" s="841"/>
      <c r="J130" s="841"/>
      <c r="K130" s="846"/>
      <c r="L130" s="569"/>
    </row>
    <row r="131" spans="1:12" ht="15" thickBot="1">
      <c r="A131" s="558"/>
      <c r="B131" s="559"/>
      <c r="C131" s="560"/>
      <c r="D131" s="563"/>
      <c r="E131" s="843"/>
      <c r="F131" s="843"/>
      <c r="G131" s="844"/>
      <c r="H131" s="844"/>
      <c r="I131" s="844"/>
      <c r="J131" s="844"/>
      <c r="K131" s="849"/>
      <c r="L131" s="572"/>
    </row>
    <row r="135" spans="1:12" ht="18">
      <c r="A135" s="1625" t="s">
        <v>796</v>
      </c>
      <c r="B135" s="1625"/>
      <c r="C135" s="1625"/>
      <c r="D135" s="1625"/>
      <c r="E135" s="1625"/>
      <c r="F135" s="1625"/>
      <c r="G135" s="1625"/>
      <c r="H135" s="1625"/>
      <c r="I135" s="1625"/>
      <c r="J135" s="1625"/>
      <c r="K135" s="1625"/>
      <c r="L135" s="565"/>
    </row>
    <row r="136" spans="1:12" ht="15.6">
      <c r="A136" s="1675" t="s">
        <v>1518</v>
      </c>
      <c r="B136" s="1675"/>
      <c r="C136" s="1675"/>
      <c r="D136" s="1675"/>
      <c r="E136" s="1675"/>
      <c r="F136" s="1675"/>
      <c r="G136" s="1675"/>
      <c r="H136" s="1675"/>
      <c r="I136" s="1675"/>
      <c r="J136" s="1675"/>
      <c r="K136" s="1675"/>
      <c r="L136" s="566"/>
    </row>
    <row r="137" spans="1:12" ht="15" thickBot="1"/>
    <row r="138" spans="1:12">
      <c r="A138" s="1691" t="s">
        <v>3</v>
      </c>
      <c r="B138" s="1694" t="s">
        <v>798</v>
      </c>
      <c r="C138" s="1694" t="s">
        <v>799</v>
      </c>
      <c r="D138" s="1694" t="s">
        <v>800</v>
      </c>
      <c r="E138" s="1694" t="s">
        <v>801</v>
      </c>
      <c r="F138" s="1704" t="s">
        <v>802</v>
      </c>
      <c r="G138" s="1705"/>
      <c r="H138" s="1705"/>
      <c r="I138" s="1705"/>
      <c r="J138" s="1706"/>
      <c r="K138" s="1701" t="s">
        <v>803</v>
      </c>
      <c r="L138" s="1745"/>
    </row>
    <row r="139" spans="1:12">
      <c r="A139" s="1692"/>
      <c r="B139" s="1695"/>
      <c r="C139" s="1695"/>
      <c r="D139" s="1695"/>
      <c r="E139" s="1695"/>
      <c r="F139" s="1707" t="s">
        <v>804</v>
      </c>
      <c r="G139" s="1708"/>
      <c r="H139" s="1708"/>
      <c r="I139" s="1709"/>
      <c r="J139" s="538" t="s">
        <v>805</v>
      </c>
      <c r="K139" s="1702"/>
      <c r="L139" s="1745"/>
    </row>
    <row r="140" spans="1:12" ht="29.4" thickBot="1">
      <c r="A140" s="1693"/>
      <c r="B140" s="1696"/>
      <c r="C140" s="1696"/>
      <c r="D140" s="1696"/>
      <c r="E140" s="1696"/>
      <c r="F140" s="1710"/>
      <c r="G140" s="1711"/>
      <c r="H140" s="1711"/>
      <c r="I140" s="1712"/>
      <c r="J140" s="976" t="s">
        <v>1523</v>
      </c>
      <c r="K140" s="1703"/>
      <c r="L140" s="1745"/>
    </row>
    <row r="141" spans="1:12">
      <c r="A141" s="541"/>
      <c r="B141" s="542"/>
      <c r="C141" s="542"/>
      <c r="D141" s="543"/>
      <c r="E141" s="543"/>
      <c r="F141" s="1676"/>
      <c r="G141" s="1677"/>
      <c r="H141" s="1677"/>
      <c r="I141" s="1678"/>
      <c r="J141" s="543"/>
      <c r="K141" s="544"/>
      <c r="L141" s="974"/>
    </row>
    <row r="142" spans="1:12">
      <c r="A142" s="545" t="s">
        <v>12</v>
      </c>
      <c r="B142" s="588" t="s">
        <v>1519</v>
      </c>
      <c r="C142" s="546" t="s">
        <v>1520</v>
      </c>
      <c r="D142" s="973" t="s">
        <v>810</v>
      </c>
      <c r="E142" s="548"/>
      <c r="F142" s="1736" t="s">
        <v>1521</v>
      </c>
      <c r="G142" s="1737"/>
      <c r="H142" s="1737"/>
      <c r="I142" s="1738"/>
      <c r="J142" s="1688" t="s">
        <v>813</v>
      </c>
      <c r="K142" s="549"/>
      <c r="L142" s="974"/>
    </row>
    <row r="143" spans="1:12">
      <c r="A143" s="550"/>
      <c r="B143" s="546"/>
      <c r="C143" s="546"/>
      <c r="D143" s="973" t="s">
        <v>811</v>
      </c>
      <c r="E143" s="548"/>
      <c r="F143" s="1739"/>
      <c r="G143" s="1740"/>
      <c r="H143" s="1740"/>
      <c r="I143" s="1741"/>
      <c r="J143" s="1689"/>
      <c r="K143" s="1700" t="s">
        <v>1539</v>
      </c>
      <c r="L143" s="975"/>
    </row>
    <row r="144" spans="1:12">
      <c r="A144" s="550"/>
      <c r="B144" s="546"/>
      <c r="C144" s="546"/>
      <c r="D144" s="547" t="s">
        <v>814</v>
      </c>
      <c r="E144" s="548" t="s">
        <v>1207</v>
      </c>
      <c r="F144" s="1739"/>
      <c r="G144" s="1740"/>
      <c r="H144" s="1740"/>
      <c r="I144" s="1741"/>
      <c r="J144" s="1689"/>
      <c r="K144" s="1700"/>
      <c r="L144" s="975"/>
    </row>
    <row r="145" spans="1:12">
      <c r="A145" s="550"/>
      <c r="B145" s="546"/>
      <c r="C145" s="546"/>
      <c r="D145" s="547" t="s">
        <v>816</v>
      </c>
      <c r="E145" s="548" t="s">
        <v>815</v>
      </c>
      <c r="F145" s="1739"/>
      <c r="G145" s="1740"/>
      <c r="H145" s="1740"/>
      <c r="I145" s="1741"/>
      <c r="J145" s="1689"/>
      <c r="K145" s="1700"/>
      <c r="L145" s="974"/>
    </row>
    <row r="146" spans="1:12">
      <c r="A146" s="550"/>
      <c r="B146" s="546"/>
      <c r="C146" s="546"/>
      <c r="D146" s="547" t="s">
        <v>817</v>
      </c>
      <c r="E146" s="548" t="s">
        <v>818</v>
      </c>
      <c r="F146" s="1739"/>
      <c r="G146" s="1740"/>
      <c r="H146" s="1740"/>
      <c r="I146" s="1741"/>
      <c r="J146" s="1689"/>
      <c r="K146" s="1700"/>
      <c r="L146" s="974"/>
    </row>
    <row r="147" spans="1:12">
      <c r="A147" s="550"/>
      <c r="B147" s="546"/>
      <c r="C147" s="546"/>
      <c r="D147" s="547" t="s">
        <v>819</v>
      </c>
      <c r="E147" s="548" t="s">
        <v>820</v>
      </c>
      <c r="F147" s="1739"/>
      <c r="G147" s="1740"/>
      <c r="H147" s="1740"/>
      <c r="I147" s="1741"/>
      <c r="J147" s="1689"/>
      <c r="K147" s="1700"/>
      <c r="L147" s="974"/>
    </row>
    <row r="148" spans="1:12">
      <c r="A148" s="550"/>
      <c r="B148" s="546"/>
      <c r="C148" s="546"/>
      <c r="D148" s="547" t="s">
        <v>821</v>
      </c>
      <c r="E148" s="548"/>
      <c r="F148" s="1739"/>
      <c r="G148" s="1740"/>
      <c r="H148" s="1740"/>
      <c r="I148" s="1741"/>
      <c r="J148" s="1689"/>
      <c r="K148" s="1700"/>
      <c r="L148" s="974"/>
    </row>
    <row r="149" spans="1:12">
      <c r="A149" s="550"/>
      <c r="B149" s="546"/>
      <c r="C149" s="546"/>
      <c r="D149" s="547" t="s">
        <v>822</v>
      </c>
      <c r="E149" s="548" t="s">
        <v>818</v>
      </c>
      <c r="F149" s="1739"/>
      <c r="G149" s="1740"/>
      <c r="H149" s="1740"/>
      <c r="I149" s="1741"/>
      <c r="J149" s="1689"/>
      <c r="K149" s="1700"/>
      <c r="L149" s="974"/>
    </row>
    <row r="150" spans="1:12">
      <c r="A150" s="550"/>
      <c r="B150" s="546"/>
      <c r="C150" s="546"/>
      <c r="D150" s="547" t="s">
        <v>824</v>
      </c>
      <c r="E150" s="548" t="s">
        <v>818</v>
      </c>
      <c r="F150" s="1739"/>
      <c r="G150" s="1740"/>
      <c r="H150" s="1740"/>
      <c r="I150" s="1741"/>
      <c r="J150" s="1689"/>
      <c r="K150" s="1700"/>
      <c r="L150" s="974"/>
    </row>
    <row r="151" spans="1:12">
      <c r="A151" s="550"/>
      <c r="B151" s="546"/>
      <c r="C151" s="546"/>
      <c r="D151" s="547" t="s">
        <v>826</v>
      </c>
      <c r="E151" s="548" t="s">
        <v>818</v>
      </c>
      <c r="F151" s="1739"/>
      <c r="G151" s="1740"/>
      <c r="H151" s="1740"/>
      <c r="I151" s="1741"/>
      <c r="J151" s="1689"/>
      <c r="K151" s="1700"/>
      <c r="L151" s="974"/>
    </row>
    <row r="152" spans="1:12">
      <c r="A152" s="550"/>
      <c r="B152" s="546"/>
      <c r="C152" s="546"/>
      <c r="D152" s="547" t="s">
        <v>828</v>
      </c>
      <c r="E152" s="548" t="s">
        <v>818</v>
      </c>
      <c r="F152" s="1739"/>
      <c r="G152" s="1740"/>
      <c r="H152" s="1740"/>
      <c r="I152" s="1741"/>
      <c r="J152" s="1689"/>
      <c r="K152" s="1700"/>
      <c r="L152" s="974"/>
    </row>
    <row r="153" spans="1:12">
      <c r="A153" s="550"/>
      <c r="B153" s="546"/>
      <c r="C153" s="546"/>
      <c r="D153" s="547" t="s">
        <v>830</v>
      </c>
      <c r="E153" s="548" t="s">
        <v>818</v>
      </c>
      <c r="F153" s="1742"/>
      <c r="G153" s="1743"/>
      <c r="H153" s="1743"/>
      <c r="I153" s="1744"/>
      <c r="J153" s="1690"/>
      <c r="K153" s="1700"/>
      <c r="L153" s="974"/>
    </row>
    <row r="154" spans="1:12">
      <c r="A154" s="550"/>
      <c r="B154" s="546"/>
      <c r="C154" s="546"/>
      <c r="D154" s="547"/>
      <c r="E154" s="548"/>
      <c r="F154" s="979"/>
      <c r="G154" s="980"/>
      <c r="H154" s="980"/>
      <c r="I154" s="981"/>
      <c r="J154" s="1698"/>
      <c r="K154" s="1700"/>
      <c r="L154" s="974"/>
    </row>
    <row r="155" spans="1:12">
      <c r="A155" s="550"/>
      <c r="B155" s="837" t="s">
        <v>1522</v>
      </c>
      <c r="C155" s="546"/>
      <c r="D155" s="973" t="s">
        <v>831</v>
      </c>
      <c r="E155" s="548"/>
      <c r="F155" s="982"/>
      <c r="G155" s="983"/>
      <c r="H155" s="983"/>
      <c r="I155" s="984"/>
      <c r="J155" s="1699"/>
      <c r="K155" s="1700"/>
      <c r="L155" s="974"/>
    </row>
    <row r="156" spans="1:12">
      <c r="A156" s="550"/>
      <c r="B156" s="553"/>
      <c r="C156" s="838" t="s">
        <v>1524</v>
      </c>
      <c r="D156" s="977" t="s">
        <v>1540</v>
      </c>
      <c r="E156" s="548" t="s">
        <v>126</v>
      </c>
      <c r="F156" s="1679" t="s">
        <v>1528</v>
      </c>
      <c r="G156" s="1680"/>
      <c r="H156" s="1680"/>
      <c r="I156" s="1681"/>
      <c r="J156" s="1722" t="s">
        <v>812</v>
      </c>
      <c r="K156" s="1700"/>
      <c r="L156" s="974"/>
    </row>
    <row r="157" spans="1:12">
      <c r="A157" s="550"/>
      <c r="B157" s="553"/>
      <c r="C157" s="978"/>
      <c r="D157" s="977" t="s">
        <v>1525</v>
      </c>
      <c r="E157" s="985" t="s">
        <v>126</v>
      </c>
      <c r="F157" s="1685"/>
      <c r="G157" s="1686"/>
      <c r="H157" s="1686"/>
      <c r="I157" s="1687"/>
      <c r="J157" s="1723"/>
      <c r="K157" s="549"/>
      <c r="L157" s="974"/>
    </row>
    <row r="158" spans="1:12">
      <c r="A158" s="550"/>
      <c r="B158" s="553"/>
      <c r="C158" s="978" t="s">
        <v>1526</v>
      </c>
      <c r="D158" s="977" t="s">
        <v>1527</v>
      </c>
      <c r="E158" s="985"/>
      <c r="F158" s="1679"/>
      <c r="G158" s="1680"/>
      <c r="H158" s="1680"/>
      <c r="I158" s="1681"/>
      <c r="J158" s="1722"/>
      <c r="K158" s="549"/>
      <c r="L158" s="974"/>
    </row>
    <row r="159" spans="1:12">
      <c r="A159" s="550"/>
      <c r="B159" s="553"/>
      <c r="C159" s="555"/>
      <c r="D159" s="554"/>
      <c r="E159" s="548"/>
      <c r="F159" s="1685"/>
      <c r="G159" s="1686"/>
      <c r="H159" s="1686"/>
      <c r="I159" s="1687"/>
      <c r="J159" s="1723"/>
      <c r="K159" s="549"/>
      <c r="L159" s="974"/>
    </row>
    <row r="160" spans="1:12">
      <c r="A160" s="550"/>
      <c r="B160" s="553"/>
      <c r="C160" s="978" t="s">
        <v>1529</v>
      </c>
      <c r="D160" s="977" t="s">
        <v>1530</v>
      </c>
      <c r="E160" s="548" t="s">
        <v>126</v>
      </c>
      <c r="F160" s="1716" t="s">
        <v>1537</v>
      </c>
      <c r="G160" s="1717"/>
      <c r="H160" s="1717"/>
      <c r="I160" s="1718"/>
      <c r="J160" s="1722" t="s">
        <v>812</v>
      </c>
      <c r="K160" s="549"/>
      <c r="L160" s="974"/>
    </row>
    <row r="161" spans="1:12">
      <c r="A161" s="550"/>
      <c r="B161" s="553"/>
      <c r="C161" s="978" t="s">
        <v>1532</v>
      </c>
      <c r="D161" s="977" t="s">
        <v>1531</v>
      </c>
      <c r="E161" s="548" t="s">
        <v>126</v>
      </c>
      <c r="F161" s="1719"/>
      <c r="G161" s="1720"/>
      <c r="H161" s="1720"/>
      <c r="I161" s="1721"/>
      <c r="J161" s="1723"/>
      <c r="K161" s="556"/>
      <c r="L161" s="975"/>
    </row>
    <row r="162" spans="1:12">
      <c r="A162" s="550"/>
      <c r="B162" s="553"/>
      <c r="C162" s="838" t="s">
        <v>1533</v>
      </c>
      <c r="D162" s="977" t="s">
        <v>1534</v>
      </c>
      <c r="E162" s="548" t="s">
        <v>126</v>
      </c>
      <c r="F162" s="1679" t="s">
        <v>1538</v>
      </c>
      <c r="G162" s="1680"/>
      <c r="H162" s="1680"/>
      <c r="I162" s="1681"/>
      <c r="J162" s="1733" t="s">
        <v>813</v>
      </c>
      <c r="K162" s="556"/>
      <c r="L162" s="975"/>
    </row>
    <row r="163" spans="1:12">
      <c r="A163" s="550"/>
      <c r="B163" s="553"/>
      <c r="C163" s="555"/>
      <c r="D163" s="977" t="s">
        <v>1535</v>
      </c>
      <c r="E163" s="548" t="s">
        <v>126</v>
      </c>
      <c r="F163" s="1682"/>
      <c r="G163" s="1683"/>
      <c r="H163" s="1683"/>
      <c r="I163" s="1684"/>
      <c r="J163" s="1734"/>
      <c r="K163" s="549"/>
      <c r="L163" s="974"/>
    </row>
    <row r="164" spans="1:12">
      <c r="A164" s="550"/>
      <c r="B164" s="553"/>
      <c r="C164" s="555"/>
      <c r="D164" s="977" t="s">
        <v>880</v>
      </c>
      <c r="E164" s="548" t="s">
        <v>126</v>
      </c>
      <c r="F164" s="1682"/>
      <c r="G164" s="1683"/>
      <c r="H164" s="1683"/>
      <c r="I164" s="1684"/>
      <c r="J164" s="1734"/>
      <c r="K164" s="549"/>
      <c r="L164" s="974"/>
    </row>
    <row r="165" spans="1:12">
      <c r="A165" s="550"/>
      <c r="B165" s="553"/>
      <c r="C165" s="555"/>
      <c r="D165" s="977" t="s">
        <v>1536</v>
      </c>
      <c r="E165" s="985" t="s">
        <v>126</v>
      </c>
      <c r="F165" s="1685"/>
      <c r="G165" s="1686"/>
      <c r="H165" s="1686"/>
      <c r="I165" s="1687"/>
      <c r="J165" s="1735"/>
      <c r="K165" s="549"/>
      <c r="L165" s="974"/>
    </row>
    <row r="166" spans="1:12" ht="15" thickBot="1">
      <c r="A166" s="558"/>
      <c r="B166" s="559"/>
      <c r="C166" s="560"/>
      <c r="D166" s="561"/>
      <c r="E166" s="562"/>
      <c r="F166" s="1713"/>
      <c r="G166" s="1714"/>
      <c r="H166" s="1714"/>
      <c r="I166" s="1715"/>
      <c r="J166" s="563"/>
      <c r="K166" s="564"/>
      <c r="L166" s="974"/>
    </row>
    <row r="170" spans="1:12" ht="18">
      <c r="A170" s="1625" t="s">
        <v>796</v>
      </c>
      <c r="B170" s="1625"/>
      <c r="C170" s="1625"/>
      <c r="D170" s="1625"/>
      <c r="E170" s="1625"/>
      <c r="F170" s="1625"/>
      <c r="G170" s="1625"/>
      <c r="H170" s="1625"/>
      <c r="I170" s="1625"/>
      <c r="J170" s="1625"/>
      <c r="K170" s="1625"/>
    </row>
    <row r="171" spans="1:12" ht="15.6">
      <c r="A171" s="1675" t="s">
        <v>1606</v>
      </c>
      <c r="B171" s="1675"/>
      <c r="C171" s="1675"/>
      <c r="D171" s="1675"/>
      <c r="E171" s="1675"/>
      <c r="F171" s="1675"/>
      <c r="G171" s="1675"/>
      <c r="H171" s="1675"/>
      <c r="I171" s="1675"/>
      <c r="J171" s="1675"/>
      <c r="K171" s="1675"/>
    </row>
    <row r="172" spans="1:12" ht="15" thickBot="1"/>
    <row r="173" spans="1:12">
      <c r="A173" s="1691" t="s">
        <v>3</v>
      </c>
      <c r="B173" s="1694" t="s">
        <v>798</v>
      </c>
      <c r="C173" s="1694" t="s">
        <v>799</v>
      </c>
      <c r="D173" s="1694" t="s">
        <v>800</v>
      </c>
      <c r="E173" s="1694" t="s">
        <v>801</v>
      </c>
      <c r="F173" s="1704" t="s">
        <v>802</v>
      </c>
      <c r="G173" s="1705"/>
      <c r="H173" s="1705"/>
      <c r="I173" s="1705"/>
      <c r="J173" s="1706"/>
      <c r="K173" s="1701" t="s">
        <v>803</v>
      </c>
    </row>
    <row r="174" spans="1:12">
      <c r="A174" s="1692"/>
      <c r="B174" s="1695"/>
      <c r="C174" s="1695"/>
      <c r="D174" s="1695"/>
      <c r="E174" s="1695"/>
      <c r="F174" s="1707" t="s">
        <v>804</v>
      </c>
      <c r="G174" s="1708"/>
      <c r="H174" s="1708"/>
      <c r="I174" s="1709"/>
      <c r="J174" s="538" t="s">
        <v>805</v>
      </c>
      <c r="K174" s="1702"/>
    </row>
    <row r="175" spans="1:12" ht="29.4" thickBot="1">
      <c r="A175" s="1693"/>
      <c r="B175" s="1696"/>
      <c r="C175" s="1696"/>
      <c r="D175" s="1696"/>
      <c r="E175" s="1696"/>
      <c r="F175" s="1710"/>
      <c r="G175" s="1711"/>
      <c r="H175" s="1711"/>
      <c r="I175" s="1712"/>
      <c r="J175" s="976" t="s">
        <v>1615</v>
      </c>
      <c r="K175" s="1703"/>
    </row>
    <row r="176" spans="1:12">
      <c r="A176" s="541"/>
      <c r="B176" s="542"/>
      <c r="C176" s="542"/>
      <c r="D176" s="543"/>
      <c r="E176" s="543"/>
      <c r="F176" s="1676"/>
      <c r="G176" s="1677"/>
      <c r="H176" s="1677"/>
      <c r="I176" s="1678"/>
      <c r="J176" s="543"/>
      <c r="K176" s="544"/>
    </row>
    <row r="177" spans="1:11">
      <c r="A177" s="545" t="s">
        <v>12</v>
      </c>
      <c r="B177" s="588" t="s">
        <v>1607</v>
      </c>
      <c r="C177" s="546" t="s">
        <v>1520</v>
      </c>
      <c r="D177" s="973" t="s">
        <v>810</v>
      </c>
      <c r="E177" s="548"/>
      <c r="F177" s="1736" t="s">
        <v>1521</v>
      </c>
      <c r="G177" s="1737"/>
      <c r="H177" s="1737"/>
      <c r="I177" s="1738"/>
      <c r="J177" s="1688" t="s">
        <v>813</v>
      </c>
      <c r="K177" s="549"/>
    </row>
    <row r="178" spans="1:11">
      <c r="A178" s="550"/>
      <c r="B178" s="546"/>
      <c r="C178" s="546"/>
      <c r="D178" s="973" t="s">
        <v>811</v>
      </c>
      <c r="E178" s="548"/>
      <c r="F178" s="1739"/>
      <c r="G178" s="1740"/>
      <c r="H178" s="1740"/>
      <c r="I178" s="1741"/>
      <c r="J178" s="1689"/>
      <c r="K178" s="1700" t="s">
        <v>1609</v>
      </c>
    </row>
    <row r="179" spans="1:11">
      <c r="A179" s="550"/>
      <c r="B179" s="546"/>
      <c r="C179" s="546"/>
      <c r="D179" s="547" t="s">
        <v>814</v>
      </c>
      <c r="E179" s="548" t="s">
        <v>1207</v>
      </c>
      <c r="F179" s="1739"/>
      <c r="G179" s="1740"/>
      <c r="H179" s="1740"/>
      <c r="I179" s="1741"/>
      <c r="J179" s="1689"/>
      <c r="K179" s="1700"/>
    </row>
    <row r="180" spans="1:11">
      <c r="A180" s="550"/>
      <c r="B180" s="546"/>
      <c r="C180" s="546"/>
      <c r="D180" s="547" t="s">
        <v>816</v>
      </c>
      <c r="E180" s="548" t="s">
        <v>815</v>
      </c>
      <c r="F180" s="1739"/>
      <c r="G180" s="1740"/>
      <c r="H180" s="1740"/>
      <c r="I180" s="1741"/>
      <c r="J180" s="1689"/>
      <c r="K180" s="1700"/>
    </row>
    <row r="181" spans="1:11">
      <c r="A181" s="550"/>
      <c r="B181" s="546"/>
      <c r="C181" s="546"/>
      <c r="D181" s="547" t="s">
        <v>817</v>
      </c>
      <c r="E181" s="548" t="s">
        <v>818</v>
      </c>
      <c r="F181" s="1739"/>
      <c r="G181" s="1740"/>
      <c r="H181" s="1740"/>
      <c r="I181" s="1741"/>
      <c r="J181" s="1689"/>
      <c r="K181" s="1700"/>
    </row>
    <row r="182" spans="1:11">
      <c r="A182" s="550"/>
      <c r="B182" s="546"/>
      <c r="C182" s="546"/>
      <c r="D182" s="547" t="s">
        <v>819</v>
      </c>
      <c r="E182" s="548" t="s">
        <v>1608</v>
      </c>
      <c r="F182" s="1739"/>
      <c r="G182" s="1740"/>
      <c r="H182" s="1740"/>
      <c r="I182" s="1741"/>
      <c r="J182" s="1689"/>
      <c r="K182" s="1700"/>
    </row>
    <row r="183" spans="1:11">
      <c r="A183" s="550"/>
      <c r="B183" s="546"/>
      <c r="C183" s="546"/>
      <c r="D183" s="547" t="s">
        <v>821</v>
      </c>
      <c r="E183" s="548"/>
      <c r="F183" s="1739"/>
      <c r="G183" s="1740"/>
      <c r="H183" s="1740"/>
      <c r="I183" s="1741"/>
      <c r="J183" s="1689"/>
      <c r="K183" s="1700"/>
    </row>
    <row r="184" spans="1:11">
      <c r="A184" s="550"/>
      <c r="B184" s="546"/>
      <c r="C184" s="546"/>
      <c r="D184" s="547" t="s">
        <v>822</v>
      </c>
      <c r="E184" s="548" t="s">
        <v>818</v>
      </c>
      <c r="F184" s="1739"/>
      <c r="G184" s="1740"/>
      <c r="H184" s="1740"/>
      <c r="I184" s="1741"/>
      <c r="J184" s="1689"/>
      <c r="K184" s="1700"/>
    </row>
    <row r="185" spans="1:11">
      <c r="A185" s="550"/>
      <c r="B185" s="546"/>
      <c r="C185" s="546"/>
      <c r="D185" s="547" t="s">
        <v>824</v>
      </c>
      <c r="E185" s="548" t="s">
        <v>818</v>
      </c>
      <c r="F185" s="1739"/>
      <c r="G185" s="1740"/>
      <c r="H185" s="1740"/>
      <c r="I185" s="1741"/>
      <c r="J185" s="1689"/>
      <c r="K185" s="1700"/>
    </row>
    <row r="186" spans="1:11">
      <c r="A186" s="550"/>
      <c r="B186" s="546"/>
      <c r="C186" s="546"/>
      <c r="D186" s="547" t="s">
        <v>826</v>
      </c>
      <c r="E186" s="548" t="s">
        <v>818</v>
      </c>
      <c r="F186" s="1739"/>
      <c r="G186" s="1740"/>
      <c r="H186" s="1740"/>
      <c r="I186" s="1741"/>
      <c r="J186" s="1689"/>
      <c r="K186" s="1700"/>
    </row>
    <row r="187" spans="1:11">
      <c r="A187" s="550"/>
      <c r="B187" s="546"/>
      <c r="C187" s="546"/>
      <c r="D187" s="547" t="s">
        <v>828</v>
      </c>
      <c r="E187" s="548" t="s">
        <v>818</v>
      </c>
      <c r="F187" s="1739"/>
      <c r="G187" s="1740"/>
      <c r="H187" s="1740"/>
      <c r="I187" s="1741"/>
      <c r="J187" s="1689"/>
      <c r="K187" s="1700"/>
    </row>
    <row r="188" spans="1:11">
      <c r="A188" s="550"/>
      <c r="B188" s="546"/>
      <c r="C188" s="546"/>
      <c r="D188" s="547" t="s">
        <v>830</v>
      </c>
      <c r="E188" s="548" t="s">
        <v>818</v>
      </c>
      <c r="F188" s="1742"/>
      <c r="G188" s="1743"/>
      <c r="H188" s="1743"/>
      <c r="I188" s="1744"/>
      <c r="J188" s="1690"/>
      <c r="K188" s="1700"/>
    </row>
    <row r="189" spans="1:11">
      <c r="A189" s="550"/>
      <c r="B189" s="546"/>
      <c r="C189" s="546"/>
      <c r="D189" s="547"/>
      <c r="E189" s="548"/>
      <c r="F189" s="979"/>
      <c r="G189" s="980"/>
      <c r="H189" s="980"/>
      <c r="I189" s="981"/>
      <c r="J189" s="1698"/>
      <c r="K189" s="1700"/>
    </row>
    <row r="190" spans="1:11">
      <c r="A190" s="550"/>
      <c r="B190" s="837" t="s">
        <v>1610</v>
      </c>
      <c r="C190" s="546"/>
      <c r="D190" s="973" t="s">
        <v>831</v>
      </c>
      <c r="E190" s="548"/>
      <c r="F190" s="982"/>
      <c r="G190" s="983"/>
      <c r="H190" s="983"/>
      <c r="I190" s="984"/>
      <c r="J190" s="1699"/>
      <c r="K190" s="1700"/>
    </row>
    <row r="191" spans="1:11">
      <c r="A191" s="550"/>
      <c r="B191" s="553"/>
      <c r="C191" s="838" t="s">
        <v>1611</v>
      </c>
      <c r="D191" s="977" t="s">
        <v>1612</v>
      </c>
      <c r="E191" s="548" t="s">
        <v>126</v>
      </c>
      <c r="F191" s="1724" t="s">
        <v>1620</v>
      </c>
      <c r="G191" s="1725"/>
      <c r="H191" s="1725"/>
      <c r="I191" s="1726"/>
      <c r="J191" s="1722" t="s">
        <v>812</v>
      </c>
      <c r="K191" s="1700"/>
    </row>
    <row r="192" spans="1:11" ht="28.5" customHeight="1">
      <c r="A192" s="550"/>
      <c r="B192" s="553"/>
      <c r="C192" s="978"/>
      <c r="D192" s="996" t="s">
        <v>1616</v>
      </c>
      <c r="E192" s="985" t="s">
        <v>126</v>
      </c>
      <c r="F192" s="1730"/>
      <c r="G192" s="1731"/>
      <c r="H192" s="1731"/>
      <c r="I192" s="1732"/>
      <c r="J192" s="1723"/>
      <c r="K192" s="549"/>
    </row>
    <row r="193" spans="1:11">
      <c r="A193" s="550"/>
      <c r="B193" s="553"/>
      <c r="C193" s="978" t="s">
        <v>1613</v>
      </c>
      <c r="D193" s="977" t="s">
        <v>1617</v>
      </c>
      <c r="E193" s="985"/>
      <c r="F193" s="1679"/>
      <c r="G193" s="1680"/>
      <c r="H193" s="1680"/>
      <c r="I193" s="1681"/>
      <c r="J193" s="1722"/>
      <c r="K193" s="549"/>
    </row>
    <row r="194" spans="1:11">
      <c r="A194" s="550"/>
      <c r="B194" s="553"/>
      <c r="C194" s="555"/>
      <c r="D194" s="554"/>
      <c r="E194" s="548"/>
      <c r="F194" s="1685"/>
      <c r="G194" s="1686"/>
      <c r="H194" s="1686"/>
      <c r="I194" s="1687"/>
      <c r="J194" s="1723"/>
      <c r="K194" s="549"/>
    </row>
    <row r="195" spans="1:11">
      <c r="A195" s="550"/>
      <c r="B195" s="553"/>
      <c r="C195" s="978" t="s">
        <v>1529</v>
      </c>
      <c r="D195" s="977" t="s">
        <v>1618</v>
      </c>
      <c r="E195" s="548" t="s">
        <v>126</v>
      </c>
      <c r="F195" s="1716" t="s">
        <v>1537</v>
      </c>
      <c r="G195" s="1717"/>
      <c r="H195" s="1717"/>
      <c r="I195" s="1718"/>
      <c r="J195" s="1722" t="s">
        <v>812</v>
      </c>
      <c r="K195" s="549"/>
    </row>
    <row r="196" spans="1:11">
      <c r="A196" s="550"/>
      <c r="B196" s="553"/>
      <c r="C196" s="978" t="s">
        <v>1532</v>
      </c>
      <c r="D196" s="977" t="s">
        <v>1619</v>
      </c>
      <c r="E196" s="548" t="s">
        <v>126</v>
      </c>
      <c r="F196" s="1719"/>
      <c r="G196" s="1720"/>
      <c r="H196" s="1720"/>
      <c r="I196" s="1721"/>
      <c r="J196" s="1723"/>
      <c r="K196" s="556"/>
    </row>
    <row r="197" spans="1:11">
      <c r="A197" s="550"/>
      <c r="B197" s="553"/>
      <c r="C197" s="838" t="s">
        <v>1533</v>
      </c>
      <c r="D197" s="977" t="s">
        <v>1535</v>
      </c>
      <c r="E197" s="548" t="s">
        <v>126</v>
      </c>
      <c r="F197" s="1724" t="s">
        <v>1614</v>
      </c>
      <c r="G197" s="1725"/>
      <c r="H197" s="1725"/>
      <c r="I197" s="1726"/>
      <c r="J197" s="1733" t="s">
        <v>813</v>
      </c>
      <c r="K197" s="556"/>
    </row>
    <row r="198" spans="1:11">
      <c r="A198" s="550"/>
      <c r="B198" s="553"/>
      <c r="C198" s="555"/>
      <c r="D198" s="977" t="s">
        <v>1534</v>
      </c>
      <c r="E198" s="548" t="s">
        <v>126</v>
      </c>
      <c r="F198" s="1727"/>
      <c r="G198" s="1728"/>
      <c r="H198" s="1728"/>
      <c r="I198" s="1729"/>
      <c r="J198" s="1734"/>
      <c r="K198" s="549"/>
    </row>
    <row r="199" spans="1:11">
      <c r="A199" s="550"/>
      <c r="B199" s="553"/>
      <c r="C199" s="555"/>
      <c r="D199" s="977" t="s">
        <v>880</v>
      </c>
      <c r="E199" s="548" t="s">
        <v>126</v>
      </c>
      <c r="F199" s="1727"/>
      <c r="G199" s="1728"/>
      <c r="H199" s="1728"/>
      <c r="I199" s="1729"/>
      <c r="J199" s="1734"/>
      <c r="K199" s="549"/>
    </row>
    <row r="200" spans="1:11">
      <c r="A200" s="550"/>
      <c r="B200" s="553"/>
      <c r="C200" s="555"/>
      <c r="D200" s="977" t="s">
        <v>1536</v>
      </c>
      <c r="E200" s="985" t="s">
        <v>126</v>
      </c>
      <c r="F200" s="1730"/>
      <c r="G200" s="1731"/>
      <c r="H200" s="1731"/>
      <c r="I200" s="1732"/>
      <c r="J200" s="1735"/>
      <c r="K200" s="549"/>
    </row>
    <row r="201" spans="1:11" ht="15" thickBot="1">
      <c r="A201" s="558"/>
      <c r="B201" s="559"/>
      <c r="C201" s="560"/>
      <c r="D201" s="561"/>
      <c r="E201" s="562"/>
      <c r="F201" s="1713"/>
      <c r="G201" s="1714"/>
      <c r="H201" s="1714"/>
      <c r="I201" s="1715"/>
      <c r="J201" s="563"/>
      <c r="K201" s="564"/>
    </row>
    <row r="207" spans="1:11" ht="18">
      <c r="A207" s="1625" t="s">
        <v>796</v>
      </c>
      <c r="B207" s="1625"/>
      <c r="C207" s="1625"/>
      <c r="D207" s="1625"/>
      <c r="E207" s="1625"/>
      <c r="F207" s="1625"/>
      <c r="G207" s="1625"/>
      <c r="H207" s="1625"/>
      <c r="I207" s="1625"/>
      <c r="J207" s="1625"/>
      <c r="K207" s="1625"/>
    </row>
    <row r="208" spans="1:11" ht="15.6">
      <c r="A208" s="1675" t="s">
        <v>844</v>
      </c>
      <c r="B208" s="1675"/>
      <c r="C208" s="1675"/>
      <c r="D208" s="1675"/>
      <c r="E208" s="1675"/>
      <c r="F208" s="1675"/>
      <c r="G208" s="1675"/>
      <c r="H208" s="1675"/>
      <c r="I208" s="1675"/>
      <c r="J208" s="1675"/>
      <c r="K208" s="1675"/>
    </row>
    <row r="209" spans="1:11" ht="15" thickBot="1"/>
    <row r="210" spans="1:11">
      <c r="A210" s="1691" t="s">
        <v>3</v>
      </c>
      <c r="B210" s="1694" t="s">
        <v>798</v>
      </c>
      <c r="C210" s="1694" t="s">
        <v>799</v>
      </c>
      <c r="D210" s="1694" t="s">
        <v>800</v>
      </c>
      <c r="E210" s="1694" t="s">
        <v>801</v>
      </c>
      <c r="F210" s="1704" t="s">
        <v>802</v>
      </c>
      <c r="G210" s="1705"/>
      <c r="H210" s="1705"/>
      <c r="I210" s="1705"/>
      <c r="J210" s="1706"/>
      <c r="K210" s="1701" t="s">
        <v>803</v>
      </c>
    </row>
    <row r="211" spans="1:11">
      <c r="A211" s="1692"/>
      <c r="B211" s="1695"/>
      <c r="C211" s="1695"/>
      <c r="D211" s="1695"/>
      <c r="E211" s="1695"/>
      <c r="F211" s="1707" t="s">
        <v>804</v>
      </c>
      <c r="G211" s="1708"/>
      <c r="H211" s="1708"/>
      <c r="I211" s="1709"/>
      <c r="J211" s="538" t="s">
        <v>805</v>
      </c>
      <c r="K211" s="1702"/>
    </row>
    <row r="212" spans="1:11" ht="29.4" thickBot="1">
      <c r="A212" s="1693"/>
      <c r="B212" s="1696"/>
      <c r="C212" s="1696"/>
      <c r="D212" s="1696"/>
      <c r="E212" s="1696"/>
      <c r="F212" s="1710"/>
      <c r="G212" s="1711"/>
      <c r="H212" s="1711"/>
      <c r="I212" s="1712"/>
      <c r="J212" s="976" t="s">
        <v>1615</v>
      </c>
      <c r="K212" s="1703"/>
    </row>
    <row r="213" spans="1:11">
      <c r="A213" s="541"/>
      <c r="B213" s="542"/>
      <c r="C213" s="542"/>
      <c r="D213" s="543"/>
      <c r="E213" s="543"/>
      <c r="F213" s="1676"/>
      <c r="G213" s="1677"/>
      <c r="H213" s="1677"/>
      <c r="I213" s="1678"/>
      <c r="J213" s="543"/>
      <c r="K213" s="544"/>
    </row>
    <row r="214" spans="1:11">
      <c r="A214" s="545" t="s">
        <v>12</v>
      </c>
      <c r="B214" s="588" t="s">
        <v>1645</v>
      </c>
      <c r="C214" s="546" t="s">
        <v>1520</v>
      </c>
      <c r="D214" s="973" t="s">
        <v>810</v>
      </c>
      <c r="E214" s="548"/>
      <c r="F214" s="1736" t="s">
        <v>1521</v>
      </c>
      <c r="G214" s="1737"/>
      <c r="H214" s="1737"/>
      <c r="I214" s="1738"/>
      <c r="J214" s="1688" t="s">
        <v>813</v>
      </c>
      <c r="K214" s="549"/>
    </row>
    <row r="215" spans="1:11">
      <c r="A215" s="550"/>
      <c r="B215" s="546"/>
      <c r="C215" s="546"/>
      <c r="D215" s="973" t="s">
        <v>811</v>
      </c>
      <c r="E215" s="548"/>
      <c r="F215" s="1739"/>
      <c r="G215" s="1740"/>
      <c r="H215" s="1740"/>
      <c r="I215" s="1741"/>
      <c r="J215" s="1689"/>
      <c r="K215" s="1700" t="s">
        <v>1648</v>
      </c>
    </row>
    <row r="216" spans="1:11">
      <c r="A216" s="550"/>
      <c r="B216" s="546"/>
      <c r="C216" s="546"/>
      <c r="D216" s="547" t="s">
        <v>814</v>
      </c>
      <c r="E216" s="548" t="s">
        <v>1207</v>
      </c>
      <c r="F216" s="1739"/>
      <c r="G216" s="1740"/>
      <c r="H216" s="1740"/>
      <c r="I216" s="1741"/>
      <c r="J216" s="1689"/>
      <c r="K216" s="1700"/>
    </row>
    <row r="217" spans="1:11">
      <c r="A217" s="550"/>
      <c r="B217" s="546"/>
      <c r="C217" s="546"/>
      <c r="D217" s="547" t="s">
        <v>816</v>
      </c>
      <c r="E217" s="548" t="s">
        <v>815</v>
      </c>
      <c r="F217" s="1739"/>
      <c r="G217" s="1740"/>
      <c r="H217" s="1740"/>
      <c r="I217" s="1741"/>
      <c r="J217" s="1689"/>
      <c r="K217" s="1700"/>
    </row>
    <row r="218" spans="1:11">
      <c r="A218" s="550"/>
      <c r="B218" s="546"/>
      <c r="C218" s="546"/>
      <c r="D218" s="547" t="s">
        <v>817</v>
      </c>
      <c r="E218" s="548" t="s">
        <v>818</v>
      </c>
      <c r="F218" s="1739"/>
      <c r="G218" s="1740"/>
      <c r="H218" s="1740"/>
      <c r="I218" s="1741"/>
      <c r="J218" s="1689"/>
      <c r="K218" s="1700"/>
    </row>
    <row r="219" spans="1:11">
      <c r="A219" s="550"/>
      <c r="B219" s="546"/>
      <c r="C219" s="546"/>
      <c r="D219" s="547" t="s">
        <v>819</v>
      </c>
      <c r="E219" s="548" t="s">
        <v>1608</v>
      </c>
      <c r="F219" s="1739"/>
      <c r="G219" s="1740"/>
      <c r="H219" s="1740"/>
      <c r="I219" s="1741"/>
      <c r="J219" s="1689"/>
      <c r="K219" s="1700"/>
    </row>
    <row r="220" spans="1:11">
      <c r="A220" s="550"/>
      <c r="B220" s="546"/>
      <c r="C220" s="546"/>
      <c r="D220" s="547" t="s">
        <v>821</v>
      </c>
      <c r="E220" s="548"/>
      <c r="F220" s="1739"/>
      <c r="G220" s="1740"/>
      <c r="H220" s="1740"/>
      <c r="I220" s="1741"/>
      <c r="J220" s="1689"/>
      <c r="K220" s="1700"/>
    </row>
    <row r="221" spans="1:11">
      <c r="A221" s="550"/>
      <c r="B221" s="546"/>
      <c r="C221" s="546"/>
      <c r="D221" s="547" t="s">
        <v>822</v>
      </c>
      <c r="E221" s="548" t="s">
        <v>818</v>
      </c>
      <c r="F221" s="1739"/>
      <c r="G221" s="1740"/>
      <c r="H221" s="1740"/>
      <c r="I221" s="1741"/>
      <c r="J221" s="1689"/>
      <c r="K221" s="1700"/>
    </row>
    <row r="222" spans="1:11">
      <c r="A222" s="550"/>
      <c r="B222" s="546"/>
      <c r="C222" s="546"/>
      <c r="D222" s="547" t="s">
        <v>824</v>
      </c>
      <c r="E222" s="548" t="s">
        <v>818</v>
      </c>
      <c r="F222" s="1739"/>
      <c r="G222" s="1740"/>
      <c r="H222" s="1740"/>
      <c r="I222" s="1741"/>
      <c r="J222" s="1689"/>
      <c r="K222" s="1700"/>
    </row>
    <row r="223" spans="1:11">
      <c r="A223" s="550"/>
      <c r="B223" s="546"/>
      <c r="C223" s="546"/>
      <c r="D223" s="547" t="s">
        <v>826</v>
      </c>
      <c r="E223" s="548" t="s">
        <v>818</v>
      </c>
      <c r="F223" s="1739"/>
      <c r="G223" s="1740"/>
      <c r="H223" s="1740"/>
      <c r="I223" s="1741"/>
      <c r="J223" s="1689"/>
      <c r="K223" s="1700"/>
    </row>
    <row r="224" spans="1:11">
      <c r="A224" s="550"/>
      <c r="B224" s="546"/>
      <c r="C224" s="546"/>
      <c r="D224" s="547" t="s">
        <v>828</v>
      </c>
      <c r="E224" s="548" t="s">
        <v>818</v>
      </c>
      <c r="F224" s="1739"/>
      <c r="G224" s="1740"/>
      <c r="H224" s="1740"/>
      <c r="I224" s="1741"/>
      <c r="J224" s="1689"/>
      <c r="K224" s="1700"/>
    </row>
    <row r="225" spans="1:11">
      <c r="A225" s="550"/>
      <c r="B225" s="546"/>
      <c r="C225" s="546"/>
      <c r="D225" s="547" t="s">
        <v>830</v>
      </c>
      <c r="E225" s="548" t="s">
        <v>818</v>
      </c>
      <c r="F225" s="1742"/>
      <c r="G225" s="1743"/>
      <c r="H225" s="1743"/>
      <c r="I225" s="1744"/>
      <c r="J225" s="1690"/>
      <c r="K225" s="1700"/>
    </row>
    <row r="226" spans="1:11">
      <c r="A226" s="550"/>
      <c r="B226" s="546"/>
      <c r="C226" s="546"/>
      <c r="D226" s="547"/>
      <c r="E226" s="548"/>
      <c r="F226" s="979"/>
      <c r="G226" s="980"/>
      <c r="H226" s="980"/>
      <c r="I226" s="981"/>
      <c r="J226" s="1698"/>
      <c r="K226" s="1700"/>
    </row>
    <row r="227" spans="1:11">
      <c r="A227" s="550"/>
      <c r="B227" s="837" t="s">
        <v>1646</v>
      </c>
      <c r="C227" s="546"/>
      <c r="D227" s="973" t="s">
        <v>831</v>
      </c>
      <c r="E227" s="548"/>
      <c r="F227" s="982"/>
      <c r="G227" s="983"/>
      <c r="H227" s="983"/>
      <c r="I227" s="984"/>
      <c r="J227" s="1699"/>
      <c r="K227" s="1700"/>
    </row>
    <row r="228" spans="1:11">
      <c r="A228" s="550"/>
      <c r="B228" s="553"/>
      <c r="C228" s="838" t="s">
        <v>1647</v>
      </c>
      <c r="D228" s="977" t="s">
        <v>1612</v>
      </c>
      <c r="E228" s="548" t="s">
        <v>126</v>
      </c>
      <c r="F228" s="1724" t="s">
        <v>1620</v>
      </c>
      <c r="G228" s="1725"/>
      <c r="H228" s="1725"/>
      <c r="I228" s="1726"/>
      <c r="J228" s="1722" t="s">
        <v>812</v>
      </c>
      <c r="K228" s="1700"/>
    </row>
    <row r="229" spans="1:11">
      <c r="A229" s="550"/>
      <c r="B229" s="553"/>
      <c r="C229" s="978"/>
      <c r="D229" s="996" t="s">
        <v>1616</v>
      </c>
      <c r="E229" s="985" t="s">
        <v>126</v>
      </c>
      <c r="F229" s="1730"/>
      <c r="G229" s="1731"/>
      <c r="H229" s="1731"/>
      <c r="I229" s="1732"/>
      <c r="J229" s="1723"/>
      <c r="K229" s="549"/>
    </row>
    <row r="230" spans="1:11">
      <c r="A230" s="550"/>
      <c r="B230" s="553"/>
      <c r="C230" s="978" t="s">
        <v>1529</v>
      </c>
      <c r="D230" s="977" t="s">
        <v>1617</v>
      </c>
      <c r="E230" s="985"/>
      <c r="F230" s="1679"/>
      <c r="G230" s="1680"/>
      <c r="H230" s="1680"/>
      <c r="I230" s="1681"/>
      <c r="J230" s="1722"/>
      <c r="K230" s="549"/>
    </row>
    <row r="231" spans="1:11">
      <c r="A231" s="550"/>
      <c r="B231" s="553"/>
      <c r="C231" s="555"/>
      <c r="D231" s="554"/>
      <c r="E231" s="548"/>
      <c r="F231" s="1685"/>
      <c r="G231" s="1686"/>
      <c r="H231" s="1686"/>
      <c r="I231" s="1687"/>
      <c r="J231" s="1723"/>
      <c r="K231" s="549"/>
    </row>
    <row r="232" spans="1:11">
      <c r="A232" s="550"/>
      <c r="B232" s="553"/>
      <c r="C232" s="978" t="s">
        <v>1529</v>
      </c>
      <c r="D232" s="977" t="s">
        <v>1618</v>
      </c>
      <c r="E232" s="548" t="s">
        <v>126</v>
      </c>
      <c r="F232" s="1716" t="s">
        <v>1537</v>
      </c>
      <c r="G232" s="1717"/>
      <c r="H232" s="1717"/>
      <c r="I232" s="1718"/>
      <c r="J232" s="1722" t="s">
        <v>812</v>
      </c>
      <c r="K232" s="549"/>
    </row>
    <row r="233" spans="1:11">
      <c r="A233" s="550"/>
      <c r="B233" s="553"/>
      <c r="C233" s="978" t="s">
        <v>1532</v>
      </c>
      <c r="D233" s="977" t="s">
        <v>1619</v>
      </c>
      <c r="E233" s="548" t="s">
        <v>126</v>
      </c>
      <c r="F233" s="1719"/>
      <c r="G233" s="1720"/>
      <c r="H233" s="1720"/>
      <c r="I233" s="1721"/>
      <c r="J233" s="1723"/>
      <c r="K233" s="556"/>
    </row>
    <row r="234" spans="1:11">
      <c r="A234" s="550"/>
      <c r="B234" s="553"/>
      <c r="C234" s="838" t="s">
        <v>1533</v>
      </c>
      <c r="D234" s="977" t="s">
        <v>1535</v>
      </c>
      <c r="E234" s="548" t="s">
        <v>126</v>
      </c>
      <c r="F234" s="1724" t="s">
        <v>1614</v>
      </c>
      <c r="G234" s="1725"/>
      <c r="H234" s="1725"/>
      <c r="I234" s="1726"/>
      <c r="J234" s="1733" t="s">
        <v>813</v>
      </c>
      <c r="K234" s="556"/>
    </row>
    <row r="235" spans="1:11">
      <c r="A235" s="550"/>
      <c r="B235" s="553"/>
      <c r="C235" s="555"/>
      <c r="D235" s="977" t="s">
        <v>1534</v>
      </c>
      <c r="E235" s="548" t="s">
        <v>126</v>
      </c>
      <c r="F235" s="1727"/>
      <c r="G235" s="1728"/>
      <c r="H235" s="1728"/>
      <c r="I235" s="1729"/>
      <c r="J235" s="1734"/>
      <c r="K235" s="549"/>
    </row>
    <row r="236" spans="1:11">
      <c r="A236" s="550"/>
      <c r="B236" s="553"/>
      <c r="C236" s="555"/>
      <c r="D236" s="977" t="s">
        <v>880</v>
      </c>
      <c r="E236" s="548" t="s">
        <v>126</v>
      </c>
      <c r="F236" s="1727"/>
      <c r="G236" s="1728"/>
      <c r="H236" s="1728"/>
      <c r="I236" s="1729"/>
      <c r="J236" s="1734"/>
      <c r="K236" s="549"/>
    </row>
    <row r="237" spans="1:11">
      <c r="A237" s="550"/>
      <c r="B237" s="553"/>
      <c r="C237" s="555"/>
      <c r="D237" s="977" t="s">
        <v>1536</v>
      </c>
      <c r="E237" s="985" t="s">
        <v>126</v>
      </c>
      <c r="F237" s="1730"/>
      <c r="G237" s="1731"/>
      <c r="H237" s="1731"/>
      <c r="I237" s="1732"/>
      <c r="J237" s="1735"/>
      <c r="K237" s="549"/>
    </row>
    <row r="238" spans="1:11" ht="15" thickBot="1">
      <c r="A238" s="558"/>
      <c r="B238" s="559"/>
      <c r="C238" s="560"/>
      <c r="D238" s="561"/>
      <c r="E238" s="562"/>
      <c r="F238" s="1713"/>
      <c r="G238" s="1714"/>
      <c r="H238" s="1714"/>
      <c r="I238" s="1715"/>
      <c r="J238" s="563"/>
      <c r="K238" s="564"/>
    </row>
    <row r="248" spans="1:11" ht="18">
      <c r="A248" s="1625" t="s">
        <v>796</v>
      </c>
      <c r="B248" s="1625"/>
      <c r="C248" s="1625"/>
      <c r="D248" s="1625"/>
      <c r="E248" s="1625"/>
      <c r="F248" s="1625"/>
      <c r="G248" s="1625"/>
      <c r="H248" s="1625"/>
      <c r="I248" s="1625"/>
      <c r="J248" s="1625"/>
      <c r="K248" s="1625"/>
    </row>
    <row r="249" spans="1:11" ht="15.6">
      <c r="A249" s="1675" t="s">
        <v>1655</v>
      </c>
      <c r="B249" s="1675"/>
      <c r="C249" s="1675"/>
      <c r="D249" s="1675"/>
      <c r="E249" s="1675"/>
      <c r="F249" s="1675"/>
      <c r="G249" s="1675"/>
      <c r="H249" s="1675"/>
      <c r="I249" s="1675"/>
      <c r="J249" s="1675"/>
      <c r="K249" s="1675"/>
    </row>
    <row r="250" spans="1:11" ht="15" thickBot="1"/>
    <row r="251" spans="1:11">
      <c r="A251" s="1691" t="s">
        <v>3</v>
      </c>
      <c r="B251" s="1694" t="s">
        <v>798</v>
      </c>
      <c r="C251" s="1694" t="s">
        <v>799</v>
      </c>
      <c r="D251" s="1694" t="s">
        <v>800</v>
      </c>
      <c r="E251" s="1694" t="s">
        <v>801</v>
      </c>
      <c r="F251" s="1704" t="s">
        <v>802</v>
      </c>
      <c r="G251" s="1705"/>
      <c r="H251" s="1705"/>
      <c r="I251" s="1705"/>
      <c r="J251" s="1706"/>
      <c r="K251" s="1701" t="s">
        <v>803</v>
      </c>
    </row>
    <row r="252" spans="1:11">
      <c r="A252" s="1692"/>
      <c r="B252" s="1695"/>
      <c r="C252" s="1695"/>
      <c r="D252" s="1695"/>
      <c r="E252" s="1695"/>
      <c r="F252" s="1707" t="s">
        <v>804</v>
      </c>
      <c r="G252" s="1708"/>
      <c r="H252" s="1708"/>
      <c r="I252" s="1709"/>
      <c r="J252" s="538" t="s">
        <v>805</v>
      </c>
      <c r="K252" s="1702"/>
    </row>
    <row r="253" spans="1:11" ht="29.4" thickBot="1">
      <c r="A253" s="1693"/>
      <c r="B253" s="1696"/>
      <c r="C253" s="1696"/>
      <c r="D253" s="1696"/>
      <c r="E253" s="1696"/>
      <c r="F253" s="1710"/>
      <c r="G253" s="1711"/>
      <c r="H253" s="1711"/>
      <c r="I253" s="1712"/>
      <c r="J253" s="976" t="s">
        <v>1615</v>
      </c>
      <c r="K253" s="1703"/>
    </row>
    <row r="254" spans="1:11">
      <c r="A254" s="541"/>
      <c r="B254" s="542"/>
      <c r="C254" s="542"/>
      <c r="D254" s="543"/>
      <c r="E254" s="543"/>
      <c r="F254" s="1676"/>
      <c r="G254" s="1677"/>
      <c r="H254" s="1677"/>
      <c r="I254" s="1678"/>
      <c r="J254" s="543"/>
      <c r="K254" s="544"/>
    </row>
    <row r="255" spans="1:11">
      <c r="A255" s="545" t="s">
        <v>12</v>
      </c>
      <c r="B255" s="837" t="s">
        <v>1657</v>
      </c>
      <c r="C255" s="546" t="s">
        <v>1520</v>
      </c>
      <c r="D255" s="973" t="s">
        <v>810</v>
      </c>
      <c r="E255" s="548"/>
      <c r="F255" s="1679" t="s">
        <v>1521</v>
      </c>
      <c r="G255" s="1680"/>
      <c r="H255" s="1680"/>
      <c r="I255" s="1681"/>
      <c r="J255" s="1688" t="s">
        <v>813</v>
      </c>
      <c r="K255" s="549"/>
    </row>
    <row r="256" spans="1:11">
      <c r="A256" s="550"/>
      <c r="B256" s="546"/>
      <c r="C256" s="546"/>
      <c r="D256" s="973" t="s">
        <v>811</v>
      </c>
      <c r="E256" s="548"/>
      <c r="F256" s="1682"/>
      <c r="G256" s="1683"/>
      <c r="H256" s="1683"/>
      <c r="I256" s="1684"/>
      <c r="J256" s="1689"/>
      <c r="K256" s="1697" t="s">
        <v>1658</v>
      </c>
    </row>
    <row r="257" spans="1:11">
      <c r="A257" s="550"/>
      <c r="B257" s="546"/>
      <c r="C257" s="546"/>
      <c r="D257" s="547" t="s">
        <v>814</v>
      </c>
      <c r="E257" s="548" t="s">
        <v>1207</v>
      </c>
      <c r="F257" s="1682"/>
      <c r="G257" s="1683"/>
      <c r="H257" s="1683"/>
      <c r="I257" s="1684"/>
      <c r="J257" s="1689"/>
      <c r="K257" s="1697"/>
    </row>
    <row r="258" spans="1:11">
      <c r="A258" s="550"/>
      <c r="B258" s="546"/>
      <c r="C258" s="546"/>
      <c r="D258" s="547" t="s">
        <v>816</v>
      </c>
      <c r="E258" s="548" t="s">
        <v>815</v>
      </c>
      <c r="F258" s="1682"/>
      <c r="G258" s="1683"/>
      <c r="H258" s="1683"/>
      <c r="I258" s="1684"/>
      <c r="J258" s="1689"/>
      <c r="K258" s="1697"/>
    </row>
    <row r="259" spans="1:11">
      <c r="A259" s="550"/>
      <c r="B259" s="546"/>
      <c r="C259" s="546"/>
      <c r="D259" s="547" t="s">
        <v>817</v>
      </c>
      <c r="E259" s="548" t="s">
        <v>818</v>
      </c>
      <c r="F259" s="1682"/>
      <c r="G259" s="1683"/>
      <c r="H259" s="1683"/>
      <c r="I259" s="1684"/>
      <c r="J259" s="1689"/>
      <c r="K259" s="1697"/>
    </row>
    <row r="260" spans="1:11">
      <c r="A260" s="550"/>
      <c r="B260" s="546"/>
      <c r="C260" s="546"/>
      <c r="D260" s="547" t="s">
        <v>819</v>
      </c>
      <c r="E260" s="548" t="s">
        <v>1608</v>
      </c>
      <c r="F260" s="1682"/>
      <c r="G260" s="1683"/>
      <c r="H260" s="1683"/>
      <c r="I260" s="1684"/>
      <c r="J260" s="1689"/>
      <c r="K260" s="1697"/>
    </row>
    <row r="261" spans="1:11">
      <c r="A261" s="550"/>
      <c r="B261" s="546"/>
      <c r="C261" s="546"/>
      <c r="D261" s="547" t="s">
        <v>821</v>
      </c>
      <c r="E261" s="548"/>
      <c r="F261" s="1682"/>
      <c r="G261" s="1683"/>
      <c r="H261" s="1683"/>
      <c r="I261" s="1684"/>
      <c r="J261" s="1689"/>
      <c r="K261" s="1697"/>
    </row>
    <row r="262" spans="1:11">
      <c r="A262" s="550"/>
      <c r="B262" s="546"/>
      <c r="C262" s="546"/>
      <c r="D262" s="547" t="s">
        <v>822</v>
      </c>
      <c r="E262" s="548" t="s">
        <v>818</v>
      </c>
      <c r="F262" s="1682"/>
      <c r="G262" s="1683"/>
      <c r="H262" s="1683"/>
      <c r="I262" s="1684"/>
      <c r="J262" s="1689"/>
      <c r="K262" s="1697"/>
    </row>
    <row r="263" spans="1:11">
      <c r="A263" s="550"/>
      <c r="B263" s="546"/>
      <c r="C263" s="546"/>
      <c r="D263" s="547" t="s">
        <v>824</v>
      </c>
      <c r="E263" s="548" t="s">
        <v>818</v>
      </c>
      <c r="F263" s="1682"/>
      <c r="G263" s="1683"/>
      <c r="H263" s="1683"/>
      <c r="I263" s="1684"/>
      <c r="J263" s="1689"/>
      <c r="K263" s="1697"/>
    </row>
    <row r="264" spans="1:11">
      <c r="A264" s="550"/>
      <c r="B264" s="546"/>
      <c r="C264" s="546"/>
      <c r="D264" s="547" t="s">
        <v>826</v>
      </c>
      <c r="E264" s="548" t="s">
        <v>818</v>
      </c>
      <c r="F264" s="1682"/>
      <c r="G264" s="1683"/>
      <c r="H264" s="1683"/>
      <c r="I264" s="1684"/>
      <c r="J264" s="1689"/>
      <c r="K264" s="1697"/>
    </row>
    <row r="265" spans="1:11">
      <c r="A265" s="550"/>
      <c r="B265" s="546"/>
      <c r="C265" s="546"/>
      <c r="D265" s="547" t="s">
        <v>828</v>
      </c>
      <c r="E265" s="548" t="s">
        <v>818</v>
      </c>
      <c r="F265" s="1682"/>
      <c r="G265" s="1683"/>
      <c r="H265" s="1683"/>
      <c r="I265" s="1684"/>
      <c r="J265" s="1689"/>
      <c r="K265" s="1697"/>
    </row>
    <row r="266" spans="1:11">
      <c r="A266" s="550"/>
      <c r="B266" s="546"/>
      <c r="C266" s="546"/>
      <c r="D266" s="547" t="s">
        <v>830</v>
      </c>
      <c r="E266" s="548" t="s">
        <v>818</v>
      </c>
      <c r="F266" s="1685"/>
      <c r="G266" s="1686"/>
      <c r="H266" s="1686"/>
      <c r="I266" s="1687"/>
      <c r="J266" s="1690"/>
      <c r="K266" s="1697"/>
    </row>
    <row r="267" spans="1:11">
      <c r="A267" s="550"/>
      <c r="B267" s="546"/>
      <c r="C267" s="546"/>
      <c r="D267" s="547"/>
      <c r="E267" s="548"/>
      <c r="F267" s="979"/>
      <c r="G267" s="980"/>
      <c r="H267" s="980"/>
      <c r="I267" s="981"/>
      <c r="J267" s="1698"/>
      <c r="K267" s="1697"/>
    </row>
    <row r="268" spans="1:11">
      <c r="A268" s="550"/>
      <c r="B268" s="837" t="s">
        <v>1656</v>
      </c>
      <c r="C268" s="546"/>
      <c r="D268" s="973" t="s">
        <v>831</v>
      </c>
      <c r="E268" s="548"/>
      <c r="F268" s="982"/>
      <c r="G268" s="983"/>
      <c r="H268" s="983"/>
      <c r="I268" s="984"/>
      <c r="J268" s="1699"/>
      <c r="K268" s="1697"/>
    </row>
    <row r="269" spans="1:11">
      <c r="A269" s="550"/>
      <c r="B269" s="553"/>
      <c r="C269" s="978" t="s">
        <v>1529</v>
      </c>
      <c r="D269" s="977" t="s">
        <v>1660</v>
      </c>
      <c r="E269" s="548" t="s">
        <v>126</v>
      </c>
      <c r="F269" s="1716" t="s">
        <v>1537</v>
      </c>
      <c r="G269" s="1717"/>
      <c r="H269" s="1717"/>
      <c r="I269" s="1718"/>
      <c r="J269" s="1722" t="s">
        <v>812</v>
      </c>
      <c r="K269" s="549"/>
    </row>
    <row r="270" spans="1:11">
      <c r="A270" s="550"/>
      <c r="B270" s="553"/>
      <c r="C270" s="978" t="s">
        <v>1532</v>
      </c>
      <c r="D270" s="977" t="s">
        <v>1659</v>
      </c>
      <c r="E270" s="548" t="s">
        <v>126</v>
      </c>
      <c r="F270" s="1719"/>
      <c r="G270" s="1720"/>
      <c r="H270" s="1720"/>
      <c r="I270" s="1721"/>
      <c r="J270" s="1723"/>
      <c r="K270" s="556"/>
    </row>
    <row r="271" spans="1:11">
      <c r="A271" s="550"/>
      <c r="B271" s="553"/>
      <c r="C271" s="838" t="s">
        <v>1533</v>
      </c>
      <c r="D271" s="977" t="s">
        <v>1535</v>
      </c>
      <c r="E271" s="548" t="s">
        <v>126</v>
      </c>
      <c r="F271" s="1724" t="s">
        <v>1614</v>
      </c>
      <c r="G271" s="1725"/>
      <c r="H271" s="1725"/>
      <c r="I271" s="1726"/>
      <c r="J271" s="1733" t="s">
        <v>813</v>
      </c>
      <c r="K271" s="556"/>
    </row>
    <row r="272" spans="1:11">
      <c r="A272" s="550"/>
      <c r="B272" s="553"/>
      <c r="C272" s="555"/>
      <c r="D272" s="977" t="s">
        <v>1534</v>
      </c>
      <c r="E272" s="548" t="s">
        <v>126</v>
      </c>
      <c r="F272" s="1727"/>
      <c r="G272" s="1728"/>
      <c r="H272" s="1728"/>
      <c r="I272" s="1729"/>
      <c r="J272" s="1734"/>
      <c r="K272" s="549"/>
    </row>
    <row r="273" spans="1:11">
      <c r="A273" s="550"/>
      <c r="B273" s="553"/>
      <c r="C273" s="555"/>
      <c r="D273" s="977" t="s">
        <v>880</v>
      </c>
      <c r="E273" s="548" t="s">
        <v>126</v>
      </c>
      <c r="F273" s="1727"/>
      <c r="G273" s="1728"/>
      <c r="H273" s="1728"/>
      <c r="I273" s="1729"/>
      <c r="J273" s="1734"/>
      <c r="K273" s="549"/>
    </row>
    <row r="274" spans="1:11">
      <c r="A274" s="550"/>
      <c r="B274" s="553"/>
      <c r="C274" s="555"/>
      <c r="D274" s="977" t="s">
        <v>1536</v>
      </c>
      <c r="E274" s="985" t="s">
        <v>126</v>
      </c>
      <c r="F274" s="1730"/>
      <c r="G274" s="1731"/>
      <c r="H274" s="1731"/>
      <c r="I274" s="1732"/>
      <c r="J274" s="1735"/>
      <c r="K274" s="549"/>
    </row>
    <row r="275" spans="1:11" ht="15" thickBot="1">
      <c r="A275" s="558"/>
      <c r="B275" s="559"/>
      <c r="C275" s="560"/>
      <c r="D275" s="561"/>
      <c r="E275" s="562"/>
      <c r="F275" s="1713"/>
      <c r="G275" s="1714"/>
      <c r="H275" s="1714"/>
      <c r="I275" s="1715"/>
      <c r="J275" s="563"/>
      <c r="K275" s="564"/>
    </row>
    <row r="286" spans="1:11" ht="18">
      <c r="A286" s="1625" t="s">
        <v>796</v>
      </c>
      <c r="B286" s="1625"/>
      <c r="C286" s="1625"/>
      <c r="D286" s="1625"/>
      <c r="E286" s="1625"/>
      <c r="F286" s="1625"/>
      <c r="G286" s="1625"/>
      <c r="H286" s="1625"/>
      <c r="I286" s="1625"/>
      <c r="J286" s="1625"/>
      <c r="K286" s="1625"/>
    </row>
    <row r="287" spans="1:11" ht="15.6">
      <c r="A287" s="1675" t="s">
        <v>1781</v>
      </c>
      <c r="B287" s="1675"/>
      <c r="C287" s="1675"/>
      <c r="D287" s="1675"/>
      <c r="E287" s="1675"/>
      <c r="F287" s="1675"/>
      <c r="G287" s="1675"/>
      <c r="H287" s="1675"/>
      <c r="I287" s="1675"/>
      <c r="J287" s="1675"/>
      <c r="K287" s="1675"/>
    </row>
    <row r="288" spans="1:11" ht="15" thickBot="1"/>
    <row r="289" spans="1:11">
      <c r="A289" s="1691" t="s">
        <v>3</v>
      </c>
      <c r="B289" s="1694" t="s">
        <v>798</v>
      </c>
      <c r="C289" s="1694" t="s">
        <v>799</v>
      </c>
      <c r="D289" s="1694" t="s">
        <v>800</v>
      </c>
      <c r="E289" s="1694" t="s">
        <v>801</v>
      </c>
      <c r="F289" s="1704" t="s">
        <v>802</v>
      </c>
      <c r="G289" s="1705"/>
      <c r="H289" s="1705"/>
      <c r="I289" s="1705"/>
      <c r="J289" s="1706"/>
      <c r="K289" s="1701" t="s">
        <v>803</v>
      </c>
    </row>
    <row r="290" spans="1:11">
      <c r="A290" s="1692"/>
      <c r="B290" s="1695"/>
      <c r="C290" s="1695"/>
      <c r="D290" s="1695"/>
      <c r="E290" s="1695"/>
      <c r="F290" s="1707" t="s">
        <v>804</v>
      </c>
      <c r="G290" s="1708"/>
      <c r="H290" s="1708"/>
      <c r="I290" s="1709"/>
      <c r="J290" s="538" t="s">
        <v>805</v>
      </c>
      <c r="K290" s="1702"/>
    </row>
    <row r="291" spans="1:11" ht="29.4" thickBot="1">
      <c r="A291" s="1693"/>
      <c r="B291" s="1696"/>
      <c r="C291" s="1696"/>
      <c r="D291" s="1696"/>
      <c r="E291" s="1696"/>
      <c r="F291" s="1710"/>
      <c r="G291" s="1711"/>
      <c r="H291" s="1711"/>
      <c r="I291" s="1712"/>
      <c r="J291" s="976" t="s">
        <v>1615</v>
      </c>
      <c r="K291" s="1703"/>
    </row>
    <row r="292" spans="1:11">
      <c r="A292" s="541"/>
      <c r="B292" s="542"/>
      <c r="C292" s="542"/>
      <c r="D292" s="543"/>
      <c r="E292" s="543"/>
      <c r="F292" s="1676"/>
      <c r="G292" s="1677"/>
      <c r="H292" s="1677"/>
      <c r="I292" s="1678"/>
      <c r="J292" s="543"/>
      <c r="K292" s="544"/>
    </row>
    <row r="293" spans="1:11">
      <c r="A293" s="545" t="s">
        <v>12</v>
      </c>
      <c r="B293" s="837" t="s">
        <v>1783</v>
      </c>
      <c r="C293" s="546" t="s">
        <v>1520</v>
      </c>
      <c r="D293" s="973" t="s">
        <v>810</v>
      </c>
      <c r="E293" s="548"/>
      <c r="F293" s="1679" t="s">
        <v>1521</v>
      </c>
      <c r="G293" s="1680"/>
      <c r="H293" s="1680"/>
      <c r="I293" s="1681"/>
      <c r="J293" s="1688" t="s">
        <v>813</v>
      </c>
      <c r="K293" s="1697" t="s">
        <v>1791</v>
      </c>
    </row>
    <row r="294" spans="1:11" ht="15" customHeight="1">
      <c r="A294" s="550"/>
      <c r="B294" s="546"/>
      <c r="C294" s="546"/>
      <c r="D294" s="973" t="s">
        <v>811</v>
      </c>
      <c r="E294" s="548"/>
      <c r="F294" s="1682"/>
      <c r="G294" s="1683"/>
      <c r="H294" s="1683"/>
      <c r="I294" s="1684"/>
      <c r="J294" s="1689"/>
      <c r="K294" s="1697"/>
    </row>
    <row r="295" spans="1:11">
      <c r="A295" s="550"/>
      <c r="B295" s="546"/>
      <c r="C295" s="546"/>
      <c r="D295" s="547" t="s">
        <v>814</v>
      </c>
      <c r="E295" s="548" t="s">
        <v>1207</v>
      </c>
      <c r="F295" s="1682"/>
      <c r="G295" s="1683"/>
      <c r="H295" s="1683"/>
      <c r="I295" s="1684"/>
      <c r="J295" s="1689"/>
      <c r="K295" s="1697"/>
    </row>
    <row r="296" spans="1:11">
      <c r="A296" s="550"/>
      <c r="B296" s="546"/>
      <c r="C296" s="546"/>
      <c r="D296" s="547" t="s">
        <v>816</v>
      </c>
      <c r="E296" s="548" t="s">
        <v>815</v>
      </c>
      <c r="F296" s="1682"/>
      <c r="G296" s="1683"/>
      <c r="H296" s="1683"/>
      <c r="I296" s="1684"/>
      <c r="J296" s="1689"/>
      <c r="K296" s="1697"/>
    </row>
    <row r="297" spans="1:11">
      <c r="A297" s="550"/>
      <c r="B297" s="546"/>
      <c r="C297" s="546"/>
      <c r="D297" s="547" t="s">
        <v>817</v>
      </c>
      <c r="E297" s="548" t="s">
        <v>818</v>
      </c>
      <c r="F297" s="1682"/>
      <c r="G297" s="1683"/>
      <c r="H297" s="1683"/>
      <c r="I297" s="1684"/>
      <c r="J297" s="1689"/>
      <c r="K297" s="1697"/>
    </row>
    <row r="298" spans="1:11">
      <c r="A298" s="550"/>
      <c r="B298" s="546"/>
      <c r="C298" s="546"/>
      <c r="D298" s="547" t="s">
        <v>819</v>
      </c>
      <c r="E298" s="548" t="s">
        <v>1608</v>
      </c>
      <c r="F298" s="1682"/>
      <c r="G298" s="1683"/>
      <c r="H298" s="1683"/>
      <c r="I298" s="1684"/>
      <c r="J298" s="1689"/>
      <c r="K298" s="1697"/>
    </row>
    <row r="299" spans="1:11">
      <c r="A299" s="550"/>
      <c r="B299" s="546"/>
      <c r="C299" s="546"/>
      <c r="D299" s="547" t="s">
        <v>821</v>
      </c>
      <c r="E299" s="548"/>
      <c r="F299" s="1682"/>
      <c r="G299" s="1683"/>
      <c r="H299" s="1683"/>
      <c r="I299" s="1684"/>
      <c r="J299" s="1689"/>
      <c r="K299" s="1697"/>
    </row>
    <row r="300" spans="1:11">
      <c r="A300" s="550"/>
      <c r="B300" s="546"/>
      <c r="C300" s="546"/>
      <c r="D300" s="547" t="s">
        <v>822</v>
      </c>
      <c r="E300" s="548" t="s">
        <v>818</v>
      </c>
      <c r="F300" s="1682"/>
      <c r="G300" s="1683"/>
      <c r="H300" s="1683"/>
      <c r="I300" s="1684"/>
      <c r="J300" s="1689"/>
      <c r="K300" s="1697"/>
    </row>
    <row r="301" spans="1:11">
      <c r="A301" s="550"/>
      <c r="B301" s="546"/>
      <c r="C301" s="546"/>
      <c r="D301" s="547" t="s">
        <v>824</v>
      </c>
      <c r="E301" s="548" t="s">
        <v>818</v>
      </c>
      <c r="F301" s="1682"/>
      <c r="G301" s="1683"/>
      <c r="H301" s="1683"/>
      <c r="I301" s="1684"/>
      <c r="J301" s="1689"/>
      <c r="K301" s="1697"/>
    </row>
    <row r="302" spans="1:11">
      <c r="A302" s="550"/>
      <c r="B302" s="546"/>
      <c r="C302" s="546"/>
      <c r="D302" s="547" t="s">
        <v>826</v>
      </c>
      <c r="E302" s="548" t="s">
        <v>818</v>
      </c>
      <c r="F302" s="1682"/>
      <c r="G302" s="1683"/>
      <c r="H302" s="1683"/>
      <c r="I302" s="1684"/>
      <c r="J302" s="1689"/>
      <c r="K302" s="1697"/>
    </row>
    <row r="303" spans="1:11">
      <c r="A303" s="550"/>
      <c r="B303" s="546"/>
      <c r="C303" s="546"/>
      <c r="D303" s="547" t="s">
        <v>828</v>
      </c>
      <c r="E303" s="548" t="s">
        <v>818</v>
      </c>
      <c r="F303" s="1682"/>
      <c r="G303" s="1683"/>
      <c r="H303" s="1683"/>
      <c r="I303" s="1684"/>
      <c r="J303" s="1689"/>
      <c r="K303" s="1697"/>
    </row>
    <row r="304" spans="1:11">
      <c r="A304" s="550"/>
      <c r="B304" s="546"/>
      <c r="C304" s="546"/>
      <c r="D304" s="547" t="s">
        <v>830</v>
      </c>
      <c r="E304" s="548" t="s">
        <v>818</v>
      </c>
      <c r="F304" s="1685"/>
      <c r="G304" s="1686"/>
      <c r="H304" s="1686"/>
      <c r="I304" s="1687"/>
      <c r="J304" s="1690"/>
      <c r="K304" s="1697"/>
    </row>
    <row r="305" spans="1:11">
      <c r="A305" s="550"/>
      <c r="B305" s="546"/>
      <c r="C305" s="546"/>
      <c r="D305" s="547"/>
      <c r="E305" s="548"/>
      <c r="F305" s="979"/>
      <c r="G305" s="980"/>
      <c r="H305" s="980"/>
      <c r="I305" s="981"/>
      <c r="J305" s="1698"/>
      <c r="K305" s="1070"/>
    </row>
    <row r="306" spans="1:11">
      <c r="A306" s="550"/>
      <c r="B306" s="837" t="s">
        <v>1782</v>
      </c>
      <c r="C306" s="546"/>
      <c r="D306" s="973" t="s">
        <v>831</v>
      </c>
      <c r="E306" s="548"/>
      <c r="F306" s="982"/>
      <c r="G306" s="983"/>
      <c r="H306" s="983"/>
      <c r="I306" s="984"/>
      <c r="J306" s="1699"/>
      <c r="K306" s="1070"/>
    </row>
    <row r="307" spans="1:11">
      <c r="A307" s="550"/>
      <c r="B307" s="553"/>
      <c r="C307" s="978" t="s">
        <v>1784</v>
      </c>
      <c r="D307" s="977" t="s">
        <v>1785</v>
      </c>
      <c r="E307" s="548" t="s">
        <v>126</v>
      </c>
      <c r="F307" s="1716" t="s">
        <v>1537</v>
      </c>
      <c r="G307" s="1717"/>
      <c r="H307" s="1717"/>
      <c r="I307" s="1718"/>
      <c r="J307" s="1722" t="s">
        <v>812</v>
      </c>
      <c r="K307" s="549"/>
    </row>
    <row r="308" spans="1:11">
      <c r="A308" s="550"/>
      <c r="B308" s="553"/>
      <c r="C308" s="978" t="s">
        <v>1787</v>
      </c>
      <c r="D308" s="977" t="s">
        <v>1786</v>
      </c>
      <c r="E308" s="548" t="s">
        <v>126</v>
      </c>
      <c r="F308" s="1719"/>
      <c r="G308" s="1720"/>
      <c r="H308" s="1720"/>
      <c r="I308" s="1721"/>
      <c r="J308" s="1723"/>
      <c r="K308" s="556"/>
    </row>
    <row r="309" spans="1:11">
      <c r="A309" s="550"/>
      <c r="B309" s="553"/>
      <c r="C309" s="1071" t="s">
        <v>1788</v>
      </c>
      <c r="D309" s="977" t="s">
        <v>1535</v>
      </c>
      <c r="E309" s="548" t="s">
        <v>126</v>
      </c>
      <c r="F309" s="1724" t="s">
        <v>1789</v>
      </c>
      <c r="G309" s="1725"/>
      <c r="H309" s="1725"/>
      <c r="I309" s="1726"/>
      <c r="J309" s="1733" t="s">
        <v>813</v>
      </c>
      <c r="K309" s="556"/>
    </row>
    <row r="310" spans="1:11">
      <c r="A310" s="550"/>
      <c r="B310" s="553"/>
      <c r="C310" s="555"/>
      <c r="D310" s="977" t="s">
        <v>1534</v>
      </c>
      <c r="E310" s="548" t="s">
        <v>126</v>
      </c>
      <c r="F310" s="1727"/>
      <c r="G310" s="1728"/>
      <c r="H310" s="1728"/>
      <c r="I310" s="1729"/>
      <c r="J310" s="1734"/>
      <c r="K310" s="549"/>
    </row>
    <row r="311" spans="1:11">
      <c r="A311" s="550"/>
      <c r="B311" s="553"/>
      <c r="C311" s="555"/>
      <c r="D311" s="977" t="s">
        <v>880</v>
      </c>
      <c r="E311" s="548" t="s">
        <v>126</v>
      </c>
      <c r="F311" s="1727"/>
      <c r="G311" s="1728"/>
      <c r="H311" s="1728"/>
      <c r="I311" s="1729"/>
      <c r="J311" s="1734"/>
      <c r="K311" s="549"/>
    </row>
    <row r="312" spans="1:11">
      <c r="A312" s="550"/>
      <c r="B312" s="553"/>
      <c r="C312" s="555"/>
      <c r="D312" s="977" t="s">
        <v>1536</v>
      </c>
      <c r="E312" s="985" t="s">
        <v>126</v>
      </c>
      <c r="F312" s="1730"/>
      <c r="G312" s="1731"/>
      <c r="H312" s="1731"/>
      <c r="I312" s="1732"/>
      <c r="J312" s="1735"/>
      <c r="K312" s="549"/>
    </row>
    <row r="313" spans="1:11" ht="15" thickBot="1">
      <c r="A313" s="558"/>
      <c r="B313" s="559"/>
      <c r="C313" s="560"/>
      <c r="D313" s="561"/>
      <c r="E313" s="562"/>
      <c r="F313" s="1713"/>
      <c r="G313" s="1714"/>
      <c r="H313" s="1714"/>
      <c r="I313" s="1715"/>
      <c r="J313" s="563"/>
      <c r="K313" s="564"/>
    </row>
    <row r="315" spans="1:11">
      <c r="J315" s="1073" t="s">
        <v>1790</v>
      </c>
    </row>
    <row r="320" spans="1:11">
      <c r="J320" s="1072" t="s">
        <v>1661</v>
      </c>
    </row>
    <row r="321" spans="1:11">
      <c r="J321" s="1073" t="s">
        <v>39</v>
      </c>
    </row>
    <row r="329" spans="1:11" ht="18">
      <c r="A329" s="1621" t="s">
        <v>796</v>
      </c>
      <c r="B329" s="1621"/>
      <c r="C329" s="1621"/>
      <c r="D329" s="1621"/>
      <c r="E329" s="1621"/>
      <c r="F329" s="1621"/>
      <c r="G329" s="1621"/>
      <c r="H329" s="1621"/>
      <c r="I329" s="1621"/>
      <c r="J329" s="1621"/>
      <c r="K329" s="1621"/>
    </row>
    <row r="330" spans="1:11" ht="15.6">
      <c r="A330" s="1603" t="s">
        <v>2011</v>
      </c>
      <c r="B330" s="1603"/>
      <c r="C330" s="1603"/>
      <c r="D330" s="1603"/>
      <c r="E330" s="1603"/>
      <c r="F330" s="1603"/>
      <c r="G330" s="1603"/>
      <c r="H330" s="1603"/>
      <c r="I330" s="1603"/>
      <c r="J330" s="1603"/>
      <c r="K330" s="1603"/>
    </row>
    <row r="331" spans="1:11" ht="15" thickBot="1">
      <c r="A331" s="199"/>
      <c r="B331" s="199"/>
      <c r="C331" s="199"/>
      <c r="D331" s="199"/>
      <c r="E331" s="199"/>
      <c r="F331" s="199"/>
      <c r="G331" s="199"/>
      <c r="H331" s="199"/>
      <c r="I331" s="199"/>
      <c r="J331" s="199"/>
      <c r="K331" s="199"/>
    </row>
    <row r="332" spans="1:11">
      <c r="A332" s="1783" t="s">
        <v>3</v>
      </c>
      <c r="B332" s="1786" t="s">
        <v>798</v>
      </c>
      <c r="C332" s="1786" t="s">
        <v>799</v>
      </c>
      <c r="D332" s="1786" t="s">
        <v>800</v>
      </c>
      <c r="E332" s="1786" t="s">
        <v>801</v>
      </c>
      <c r="F332" s="1788" t="s">
        <v>802</v>
      </c>
      <c r="G332" s="1789"/>
      <c r="H332" s="1789"/>
      <c r="I332" s="1789"/>
      <c r="J332" s="1790"/>
      <c r="K332" s="1791" t="s">
        <v>803</v>
      </c>
    </row>
    <row r="333" spans="1:11">
      <c r="A333" s="1784"/>
      <c r="B333" s="1778"/>
      <c r="C333" s="1778"/>
      <c r="D333" s="1778"/>
      <c r="E333" s="1778"/>
      <c r="F333" s="1736" t="s">
        <v>804</v>
      </c>
      <c r="G333" s="1737"/>
      <c r="H333" s="1737"/>
      <c r="I333" s="1738"/>
      <c r="J333" s="1159" t="s">
        <v>805</v>
      </c>
      <c r="K333" s="1792"/>
    </row>
    <row r="334" spans="1:11" ht="29.4" thickBot="1">
      <c r="A334" s="1785"/>
      <c r="B334" s="1787"/>
      <c r="C334" s="1787"/>
      <c r="D334" s="1787"/>
      <c r="E334" s="1787"/>
      <c r="F334" s="1794"/>
      <c r="G334" s="1795"/>
      <c r="H334" s="1795"/>
      <c r="I334" s="1796"/>
      <c r="J334" s="1160" t="s">
        <v>1615</v>
      </c>
      <c r="K334" s="1793"/>
    </row>
    <row r="335" spans="1:11">
      <c r="A335" s="1161"/>
      <c r="B335" s="1162"/>
      <c r="C335" s="1162"/>
      <c r="D335" s="840"/>
      <c r="E335" s="840"/>
      <c r="F335" s="1801"/>
      <c r="G335" s="1802"/>
      <c r="H335" s="1802"/>
      <c r="I335" s="1803"/>
      <c r="J335" s="840"/>
      <c r="K335" s="1163"/>
    </row>
    <row r="336" spans="1:11">
      <c r="A336" s="1164" t="s">
        <v>12</v>
      </c>
      <c r="B336" s="1165" t="s">
        <v>2013</v>
      </c>
      <c r="C336" s="1166" t="s">
        <v>1520</v>
      </c>
      <c r="D336" s="1167" t="s">
        <v>810</v>
      </c>
      <c r="E336" s="841"/>
      <c r="F336" s="1679" t="s">
        <v>1521</v>
      </c>
      <c r="G336" s="1680"/>
      <c r="H336" s="1680"/>
      <c r="I336" s="1681"/>
      <c r="J336" s="1781" t="s">
        <v>813</v>
      </c>
      <c r="K336" s="1804" t="s">
        <v>2014</v>
      </c>
    </row>
    <row r="337" spans="1:11">
      <c r="A337" s="1168"/>
      <c r="B337" s="1166"/>
      <c r="C337" s="1166"/>
      <c r="D337" s="1167" t="s">
        <v>811</v>
      </c>
      <c r="E337" s="841"/>
      <c r="F337" s="1682"/>
      <c r="G337" s="1683"/>
      <c r="H337" s="1683"/>
      <c r="I337" s="1684"/>
      <c r="J337" s="1797"/>
      <c r="K337" s="1804"/>
    </row>
    <row r="338" spans="1:11">
      <c r="A338" s="1168"/>
      <c r="B338" s="1166"/>
      <c r="C338" s="1166"/>
      <c r="D338" s="1169" t="s">
        <v>814</v>
      </c>
      <c r="E338" s="841" t="s">
        <v>815</v>
      </c>
      <c r="F338" s="1682"/>
      <c r="G338" s="1683"/>
      <c r="H338" s="1683"/>
      <c r="I338" s="1684"/>
      <c r="J338" s="1797"/>
      <c r="K338" s="1804"/>
    </row>
    <row r="339" spans="1:11">
      <c r="A339" s="1168"/>
      <c r="B339" s="1166"/>
      <c r="C339" s="1166"/>
      <c r="D339" s="1169" t="s">
        <v>816</v>
      </c>
      <c r="E339" s="841" t="s">
        <v>815</v>
      </c>
      <c r="F339" s="1682"/>
      <c r="G339" s="1683"/>
      <c r="H339" s="1683"/>
      <c r="I339" s="1684"/>
      <c r="J339" s="1797"/>
      <c r="K339" s="1804"/>
    </row>
    <row r="340" spans="1:11">
      <c r="A340" s="1168"/>
      <c r="B340" s="1166"/>
      <c r="C340" s="1166"/>
      <c r="D340" s="1169" t="s">
        <v>817</v>
      </c>
      <c r="E340" s="841" t="s">
        <v>818</v>
      </c>
      <c r="F340" s="1682"/>
      <c r="G340" s="1683"/>
      <c r="H340" s="1683"/>
      <c r="I340" s="1684"/>
      <c r="J340" s="1797"/>
      <c r="K340" s="1804"/>
    </row>
    <row r="341" spans="1:11">
      <c r="A341" s="1168"/>
      <c r="B341" s="1166"/>
      <c r="C341" s="1166"/>
      <c r="D341" s="1169" t="s">
        <v>819</v>
      </c>
      <c r="E341" s="841" t="s">
        <v>1608</v>
      </c>
      <c r="F341" s="1682"/>
      <c r="G341" s="1683"/>
      <c r="H341" s="1683"/>
      <c r="I341" s="1684"/>
      <c r="J341" s="1797"/>
      <c r="K341" s="1804"/>
    </row>
    <row r="342" spans="1:11">
      <c r="A342" s="1168"/>
      <c r="B342" s="1166"/>
      <c r="C342" s="1166"/>
      <c r="D342" s="1169" t="s">
        <v>821</v>
      </c>
      <c r="E342" s="841"/>
      <c r="F342" s="1682"/>
      <c r="G342" s="1683"/>
      <c r="H342" s="1683"/>
      <c r="I342" s="1684"/>
      <c r="J342" s="1797"/>
      <c r="K342" s="1804"/>
    </row>
    <row r="343" spans="1:11">
      <c r="A343" s="1168"/>
      <c r="B343" s="1166"/>
      <c r="C343" s="1166"/>
      <c r="D343" s="1169" t="s">
        <v>822</v>
      </c>
      <c r="E343" s="841" t="s">
        <v>818</v>
      </c>
      <c r="F343" s="1682"/>
      <c r="G343" s="1683"/>
      <c r="H343" s="1683"/>
      <c r="I343" s="1684"/>
      <c r="J343" s="1797"/>
      <c r="K343" s="1804"/>
    </row>
    <row r="344" spans="1:11">
      <c r="A344" s="1168"/>
      <c r="B344" s="1166"/>
      <c r="C344" s="1166"/>
      <c r="D344" s="1169" t="s">
        <v>824</v>
      </c>
      <c r="E344" s="841" t="s">
        <v>818</v>
      </c>
      <c r="F344" s="1682"/>
      <c r="G344" s="1683"/>
      <c r="H344" s="1683"/>
      <c r="I344" s="1684"/>
      <c r="J344" s="1797"/>
      <c r="K344" s="1804"/>
    </row>
    <row r="345" spans="1:11">
      <c r="A345" s="1168"/>
      <c r="B345" s="1166"/>
      <c r="C345" s="1166"/>
      <c r="D345" s="1169" t="s">
        <v>826</v>
      </c>
      <c r="E345" s="841" t="s">
        <v>818</v>
      </c>
      <c r="F345" s="1682"/>
      <c r="G345" s="1683"/>
      <c r="H345" s="1683"/>
      <c r="I345" s="1684"/>
      <c r="J345" s="1797"/>
      <c r="K345" s="1804"/>
    </row>
    <row r="346" spans="1:11">
      <c r="A346" s="1168"/>
      <c r="B346" s="1166"/>
      <c r="C346" s="1166"/>
      <c r="D346" s="1169" t="s">
        <v>828</v>
      </c>
      <c r="E346" s="841" t="s">
        <v>818</v>
      </c>
      <c r="F346" s="1682"/>
      <c r="G346" s="1683"/>
      <c r="H346" s="1683"/>
      <c r="I346" s="1684"/>
      <c r="J346" s="1797"/>
      <c r="K346" s="1804"/>
    </row>
    <row r="347" spans="1:11">
      <c r="A347" s="1168"/>
      <c r="B347" s="1166"/>
      <c r="C347" s="1166"/>
      <c r="D347" s="1169" t="s">
        <v>830</v>
      </c>
      <c r="E347" s="841" t="s">
        <v>818</v>
      </c>
      <c r="F347" s="1685"/>
      <c r="G347" s="1686"/>
      <c r="H347" s="1686"/>
      <c r="I347" s="1687"/>
      <c r="J347" s="1782"/>
      <c r="K347" s="1804"/>
    </row>
    <row r="348" spans="1:11">
      <c r="A348" s="1168"/>
      <c r="B348" s="1166"/>
      <c r="C348" s="1166"/>
      <c r="D348" s="1169"/>
      <c r="E348" s="841"/>
      <c r="F348" s="1170"/>
      <c r="G348" s="1171"/>
      <c r="H348" s="1171"/>
      <c r="I348" s="1172"/>
      <c r="J348" s="1805"/>
      <c r="K348" s="1173"/>
    </row>
    <row r="349" spans="1:11">
      <c r="A349" s="1168"/>
      <c r="B349" s="1165" t="s">
        <v>2012</v>
      </c>
      <c r="C349" s="1166"/>
      <c r="D349" s="1167" t="s">
        <v>831</v>
      </c>
      <c r="E349" s="841"/>
      <c r="F349" s="1174"/>
      <c r="G349" s="1175"/>
      <c r="H349" s="1175"/>
      <c r="I349" s="1176"/>
      <c r="J349" s="1806"/>
      <c r="K349" s="1173"/>
    </row>
    <row r="350" spans="1:11" ht="15" customHeight="1">
      <c r="A350" s="1168"/>
      <c r="B350" s="1177"/>
      <c r="C350" s="226" t="s">
        <v>1529</v>
      </c>
      <c r="D350" s="1178" t="s">
        <v>1785</v>
      </c>
      <c r="E350" s="841" t="s">
        <v>126</v>
      </c>
      <c r="F350" s="1679" t="s">
        <v>1537</v>
      </c>
      <c r="G350" s="1680"/>
      <c r="H350" s="1680"/>
      <c r="I350" s="1681"/>
      <c r="J350" s="1157" t="s">
        <v>812</v>
      </c>
      <c r="K350" s="1179"/>
    </row>
    <row r="351" spans="1:11">
      <c r="A351" s="1168"/>
      <c r="B351" s="1177"/>
      <c r="C351" s="226" t="s">
        <v>1787</v>
      </c>
      <c r="D351" s="1178" t="s">
        <v>1786</v>
      </c>
      <c r="E351" s="841" t="s">
        <v>126</v>
      </c>
      <c r="F351" s="1685"/>
      <c r="G351" s="1686"/>
      <c r="H351" s="1686"/>
      <c r="I351" s="1687"/>
      <c r="J351" s="1158" t="s">
        <v>813</v>
      </c>
      <c r="K351" s="1180"/>
    </row>
    <row r="352" spans="1:11">
      <c r="A352" s="1168"/>
      <c r="B352" s="1177"/>
      <c r="C352" s="1181" t="s">
        <v>1788</v>
      </c>
      <c r="D352" s="1178" t="s">
        <v>1535</v>
      </c>
      <c r="E352" s="841" t="s">
        <v>126</v>
      </c>
      <c r="F352" s="1724" t="s">
        <v>1789</v>
      </c>
      <c r="G352" s="1725"/>
      <c r="H352" s="1725"/>
      <c r="I352" s="1726"/>
      <c r="J352" s="1781" t="s">
        <v>813</v>
      </c>
      <c r="K352" s="1180"/>
    </row>
    <row r="353" spans="1:11">
      <c r="A353" s="1168"/>
      <c r="B353" s="1177"/>
      <c r="C353" s="226"/>
      <c r="D353" s="1178" t="s">
        <v>1534</v>
      </c>
      <c r="E353" s="841" t="s">
        <v>126</v>
      </c>
      <c r="F353" s="1727"/>
      <c r="G353" s="1728"/>
      <c r="H353" s="1728"/>
      <c r="I353" s="1729"/>
      <c r="J353" s="1797"/>
      <c r="K353" s="1179"/>
    </row>
    <row r="354" spans="1:11">
      <c r="A354" s="1168"/>
      <c r="B354" s="1177"/>
      <c r="C354" s="226"/>
      <c r="D354" s="1178" t="s">
        <v>880</v>
      </c>
      <c r="E354" s="841" t="s">
        <v>126</v>
      </c>
      <c r="F354" s="1727"/>
      <c r="G354" s="1728"/>
      <c r="H354" s="1728"/>
      <c r="I354" s="1729"/>
      <c r="J354" s="1797"/>
      <c r="K354" s="1179"/>
    </row>
    <row r="355" spans="1:11">
      <c r="A355" s="1168"/>
      <c r="B355" s="1177"/>
      <c r="C355" s="226"/>
      <c r="D355" s="1178" t="s">
        <v>1536</v>
      </c>
      <c r="E355" s="841" t="s">
        <v>126</v>
      </c>
      <c r="F355" s="1730"/>
      <c r="G355" s="1731"/>
      <c r="H355" s="1731"/>
      <c r="I355" s="1732"/>
      <c r="J355" s="1782"/>
      <c r="K355" s="1179"/>
    </row>
    <row r="356" spans="1:11" ht="15" thickBot="1">
      <c r="A356" s="1182"/>
      <c r="B356" s="1183"/>
      <c r="C356" s="1184"/>
      <c r="D356" s="1185"/>
      <c r="E356" s="843"/>
      <c r="F356" s="1798"/>
      <c r="G356" s="1799"/>
      <c r="H356" s="1799"/>
      <c r="I356" s="1800"/>
      <c r="J356" s="844"/>
      <c r="K356" s="1186"/>
    </row>
    <row r="357" spans="1:11">
      <c r="A357" s="199"/>
      <c r="B357" s="199"/>
      <c r="C357" s="199"/>
      <c r="D357" s="199"/>
      <c r="E357" s="199"/>
      <c r="F357" s="199"/>
      <c r="G357" s="199"/>
      <c r="H357" s="199"/>
      <c r="I357" s="199"/>
      <c r="J357" s="199"/>
      <c r="K357" s="199"/>
    </row>
    <row r="358" spans="1:11">
      <c r="A358" s="199"/>
      <c r="B358" s="199"/>
      <c r="C358" s="199"/>
      <c r="D358" s="199"/>
      <c r="E358" s="199"/>
      <c r="F358" s="199"/>
      <c r="G358" s="199"/>
      <c r="H358" s="199"/>
      <c r="I358" s="199"/>
      <c r="J358" s="1155" t="s">
        <v>2015</v>
      </c>
      <c r="K358" s="199"/>
    </row>
    <row r="359" spans="1:11">
      <c r="A359" s="199"/>
      <c r="B359" s="199"/>
      <c r="C359" s="199"/>
      <c r="D359" s="199"/>
      <c r="E359" s="199"/>
      <c r="F359" s="199"/>
      <c r="G359" s="199"/>
      <c r="H359" s="199"/>
      <c r="I359" s="199"/>
      <c r="J359" s="199"/>
      <c r="K359" s="199"/>
    </row>
    <row r="360" spans="1:11">
      <c r="A360" s="199"/>
      <c r="B360" s="199"/>
      <c r="C360" s="199"/>
      <c r="D360" s="199"/>
      <c r="E360" s="199"/>
      <c r="F360" s="199"/>
      <c r="G360" s="199"/>
      <c r="H360" s="199"/>
      <c r="I360" s="199"/>
      <c r="J360" s="199"/>
      <c r="K360" s="199"/>
    </row>
    <row r="361" spans="1:11">
      <c r="A361" s="199"/>
      <c r="B361" s="199"/>
      <c r="C361" s="199"/>
      <c r="D361" s="199"/>
      <c r="E361" s="199"/>
      <c r="F361" s="199"/>
      <c r="G361" s="199"/>
      <c r="H361" s="199"/>
      <c r="I361" s="199"/>
      <c r="J361" s="199"/>
      <c r="K361" s="199"/>
    </row>
    <row r="362" spans="1:11">
      <c r="A362" s="199"/>
      <c r="B362" s="199"/>
      <c r="C362" s="199"/>
      <c r="D362" s="199"/>
      <c r="E362" s="199"/>
      <c r="F362" s="199"/>
      <c r="G362" s="199"/>
      <c r="H362" s="199"/>
      <c r="I362" s="199"/>
      <c r="J362" s="199"/>
      <c r="K362" s="199"/>
    </row>
    <row r="363" spans="1:11">
      <c r="A363" s="199"/>
      <c r="B363" s="199"/>
      <c r="C363" s="199"/>
      <c r="D363" s="199"/>
      <c r="E363" s="199"/>
      <c r="F363" s="199"/>
      <c r="G363" s="199"/>
      <c r="H363" s="199"/>
      <c r="I363" s="199"/>
      <c r="J363" s="1156" t="s">
        <v>1661</v>
      </c>
      <c r="K363" s="199"/>
    </row>
    <row r="364" spans="1:11">
      <c r="A364" s="199"/>
      <c r="B364" s="199"/>
      <c r="C364" s="199"/>
      <c r="D364" s="199"/>
      <c r="E364" s="199"/>
      <c r="F364" s="199"/>
      <c r="G364" s="199"/>
      <c r="H364" s="199"/>
      <c r="I364" s="199"/>
      <c r="J364" s="1155" t="s">
        <v>39</v>
      </c>
      <c r="K364" s="199"/>
    </row>
    <row r="365" spans="1:11">
      <c r="A365" s="199"/>
      <c r="B365" s="199"/>
      <c r="C365" s="199"/>
      <c r="D365" s="199"/>
      <c r="E365" s="199"/>
      <c r="F365" s="199"/>
      <c r="G365" s="199"/>
      <c r="H365" s="199"/>
      <c r="I365" s="199"/>
      <c r="J365" s="199"/>
      <c r="K365" s="199"/>
    </row>
  </sheetData>
  <mergeCells count="202">
    <mergeCell ref="F352:I355"/>
    <mergeCell ref="J352:J355"/>
    <mergeCell ref="F356:I356"/>
    <mergeCell ref="F335:I335"/>
    <mergeCell ref="F336:I347"/>
    <mergeCell ref="J336:J347"/>
    <mergeCell ref="K336:K347"/>
    <mergeCell ref="J348:J349"/>
    <mergeCell ref="F350:I351"/>
    <mergeCell ref="A329:K329"/>
    <mergeCell ref="A330:K330"/>
    <mergeCell ref="A332:A334"/>
    <mergeCell ref="B332:B334"/>
    <mergeCell ref="C332:C334"/>
    <mergeCell ref="D332:D334"/>
    <mergeCell ref="E332:E334"/>
    <mergeCell ref="F332:J332"/>
    <mergeCell ref="K332:K334"/>
    <mergeCell ref="F333:I334"/>
    <mergeCell ref="F309:I312"/>
    <mergeCell ref="J309:J312"/>
    <mergeCell ref="F313:I313"/>
    <mergeCell ref="K293:K304"/>
    <mergeCell ref="F292:I292"/>
    <mergeCell ref="F293:I304"/>
    <mergeCell ref="J293:J304"/>
    <mergeCell ref="J305:J306"/>
    <mergeCell ref="F307:I308"/>
    <mergeCell ref="J307:J308"/>
    <mergeCell ref="A286:K286"/>
    <mergeCell ref="A287:K287"/>
    <mergeCell ref="A289:A291"/>
    <mergeCell ref="B289:B291"/>
    <mergeCell ref="C289:C291"/>
    <mergeCell ref="D289:D291"/>
    <mergeCell ref="E289:E291"/>
    <mergeCell ref="F289:J289"/>
    <mergeCell ref="K289:K291"/>
    <mergeCell ref="F290:I291"/>
    <mergeCell ref="F201:I201"/>
    <mergeCell ref="F193:I194"/>
    <mergeCell ref="J193:J194"/>
    <mergeCell ref="F195:I196"/>
    <mergeCell ref="J195:J196"/>
    <mergeCell ref="F197:I200"/>
    <mergeCell ref="J197:J200"/>
    <mergeCell ref="F176:I176"/>
    <mergeCell ref="F177:I188"/>
    <mergeCell ref="J177:J188"/>
    <mergeCell ref="K178:K191"/>
    <mergeCell ref="J189:J190"/>
    <mergeCell ref="F191:I192"/>
    <mergeCell ref="J191:J192"/>
    <mergeCell ref="A170:K170"/>
    <mergeCell ref="A171:K171"/>
    <mergeCell ref="A173:A175"/>
    <mergeCell ref="B173:B175"/>
    <mergeCell ref="C173:C175"/>
    <mergeCell ref="D173:D175"/>
    <mergeCell ref="E173:E175"/>
    <mergeCell ref="F173:J173"/>
    <mergeCell ref="K173:K175"/>
    <mergeCell ref="F174:I175"/>
    <mergeCell ref="F103:J103"/>
    <mergeCell ref="F104:I104"/>
    <mergeCell ref="J122:J123"/>
    <mergeCell ref="C127:C128"/>
    <mergeCell ref="F127:F128"/>
    <mergeCell ref="I127:I128"/>
    <mergeCell ref="E111:E112"/>
    <mergeCell ref="E116:E117"/>
    <mergeCell ref="F116:F117"/>
    <mergeCell ref="G116:G117"/>
    <mergeCell ref="H116:H117"/>
    <mergeCell ref="I116:I117"/>
    <mergeCell ref="C124:C125"/>
    <mergeCell ref="J124:J125"/>
    <mergeCell ref="C107:C114"/>
    <mergeCell ref="E127:E128"/>
    <mergeCell ref="L118:L120"/>
    <mergeCell ref="L122:L123"/>
    <mergeCell ref="K127:K128"/>
    <mergeCell ref="L127:L128"/>
    <mergeCell ref="J127:J128"/>
    <mergeCell ref="C122:C123"/>
    <mergeCell ref="C116:C120"/>
    <mergeCell ref="K118:K120"/>
    <mergeCell ref="K122:K123"/>
    <mergeCell ref="E122:E123"/>
    <mergeCell ref="E118:E120"/>
    <mergeCell ref="A73:K73"/>
    <mergeCell ref="F5:I5"/>
    <mergeCell ref="F6:H6"/>
    <mergeCell ref="E5:E7"/>
    <mergeCell ref="D5:D7"/>
    <mergeCell ref="C5:C7"/>
    <mergeCell ref="A100:L100"/>
    <mergeCell ref="A101:L101"/>
    <mergeCell ref="A103:A105"/>
    <mergeCell ref="B103:B105"/>
    <mergeCell ref="C103:C105"/>
    <mergeCell ref="D103:D105"/>
    <mergeCell ref="K103:K105"/>
    <mergeCell ref="L103:L105"/>
    <mergeCell ref="A74:K74"/>
    <mergeCell ref="A76:A78"/>
    <mergeCell ref="B76:B78"/>
    <mergeCell ref="C76:C78"/>
    <mergeCell ref="D76:D78"/>
    <mergeCell ref="E76:J76"/>
    <mergeCell ref="K76:K78"/>
    <mergeCell ref="I77:J77"/>
    <mergeCell ref="E103:E105"/>
    <mergeCell ref="J104:J105"/>
    <mergeCell ref="L53:L55"/>
    <mergeCell ref="K53:K55"/>
    <mergeCell ref="E53:J53"/>
    <mergeCell ref="E54:I54"/>
    <mergeCell ref="A50:K50"/>
    <mergeCell ref="B5:B7"/>
    <mergeCell ref="A5:A7"/>
    <mergeCell ref="L5:L7"/>
    <mergeCell ref="K6"/>
    <mergeCell ref="J5:J7"/>
    <mergeCell ref="J9:J38"/>
    <mergeCell ref="J39:J42"/>
    <mergeCell ref="A51:K51"/>
    <mergeCell ref="A53:A55"/>
    <mergeCell ref="B53:B55"/>
    <mergeCell ref="C53:C55"/>
    <mergeCell ref="D53:D55"/>
    <mergeCell ref="L138:L140"/>
    <mergeCell ref="J160:J161"/>
    <mergeCell ref="J162:J165"/>
    <mergeCell ref="K143:K156"/>
    <mergeCell ref="J142:J153"/>
    <mergeCell ref="K138:K140"/>
    <mergeCell ref="F139:I140"/>
    <mergeCell ref="F138:J138"/>
    <mergeCell ref="F142:I153"/>
    <mergeCell ref="F156:I157"/>
    <mergeCell ref="A136:K136"/>
    <mergeCell ref="F166:I166"/>
    <mergeCell ref="F141:I141"/>
    <mergeCell ref="J154:J155"/>
    <mergeCell ref="J158:J159"/>
    <mergeCell ref="F158:I159"/>
    <mergeCell ref="F160:I161"/>
    <mergeCell ref="F162:I165"/>
    <mergeCell ref="J156:J157"/>
    <mergeCell ref="A138:A140"/>
    <mergeCell ref="B138:B140"/>
    <mergeCell ref="C138:C140"/>
    <mergeCell ref="D138:D140"/>
    <mergeCell ref="E138:E140"/>
    <mergeCell ref="F275:I275"/>
    <mergeCell ref="F269:I270"/>
    <mergeCell ref="J269:J270"/>
    <mergeCell ref="F271:I274"/>
    <mergeCell ref="J271:J274"/>
    <mergeCell ref="C251:C253"/>
    <mergeCell ref="D251:D253"/>
    <mergeCell ref="J234:J237"/>
    <mergeCell ref="F213:I213"/>
    <mergeCell ref="F214:I225"/>
    <mergeCell ref="J214:J225"/>
    <mergeCell ref="J226:J227"/>
    <mergeCell ref="F228:I229"/>
    <mergeCell ref="J228:J229"/>
    <mergeCell ref="E251:E253"/>
    <mergeCell ref="F251:J251"/>
    <mergeCell ref="F252:I253"/>
    <mergeCell ref="F238:I238"/>
    <mergeCell ref="F230:I231"/>
    <mergeCell ref="J230:J231"/>
    <mergeCell ref="F232:I233"/>
    <mergeCell ref="J232:J233"/>
    <mergeCell ref="F234:I237"/>
    <mergeCell ref="A2:J2"/>
    <mergeCell ref="A3:J3"/>
    <mergeCell ref="F254:I254"/>
    <mergeCell ref="F255:I266"/>
    <mergeCell ref="J255:J266"/>
    <mergeCell ref="A248:K248"/>
    <mergeCell ref="A249:K249"/>
    <mergeCell ref="A251:A253"/>
    <mergeCell ref="B251:B253"/>
    <mergeCell ref="K256:K268"/>
    <mergeCell ref="J267:J268"/>
    <mergeCell ref="K215:K228"/>
    <mergeCell ref="K251:K253"/>
    <mergeCell ref="A207:K207"/>
    <mergeCell ref="A208:K208"/>
    <mergeCell ref="A210:A212"/>
    <mergeCell ref="B210:B212"/>
    <mergeCell ref="C210:C212"/>
    <mergeCell ref="D210:D212"/>
    <mergeCell ref="E210:E212"/>
    <mergeCell ref="F210:J210"/>
    <mergeCell ref="K210:K212"/>
    <mergeCell ref="F211:I212"/>
    <mergeCell ref="A135:K135"/>
  </mergeCells>
  <printOptions horizontalCentered="1"/>
  <pageMargins left="0.31496062992125984" right="0.31496062992125984" top="0.51181102362204722" bottom="0.31496062992125984" header="0.31496062992125984" footer="0.31496062992125984"/>
  <pageSetup paperSize="256" scale="10" firstPageNumber="4294963191" orientation="landscape" horizontalDpi="4294967293" vertic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N34"/>
  <sheetViews>
    <sheetView topLeftCell="F22" workbookViewId="0">
      <selection activeCell="H8" sqref="H8:M19"/>
    </sheetView>
  </sheetViews>
  <sheetFormatPr defaultRowHeight="14.4"/>
  <cols>
    <col min="1" max="1" width="4" customWidth="1"/>
    <col min="2" max="2" width="40.109375" customWidth="1"/>
    <col min="3" max="3" width="8.5546875" bestFit="1" customWidth="1"/>
    <col min="4" max="4" width="9" customWidth="1"/>
    <col min="5" max="5" width="34.6640625" customWidth="1"/>
    <col min="6" max="6" width="10.5546875" customWidth="1"/>
    <col min="7" max="7" width="3.88671875" bestFit="1" customWidth="1"/>
    <col min="8" max="8" width="36.88671875" customWidth="1"/>
    <col min="9" max="11" width="7.5546875" customWidth="1"/>
    <col min="12" max="12" width="10.5546875" customWidth="1"/>
    <col min="13" max="13" width="11.6640625" customWidth="1"/>
    <col min="14" max="14" width="12.44140625" bestFit="1" customWidth="1"/>
  </cols>
  <sheetData>
    <row r="1" spans="1:14" ht="18">
      <c r="A1" s="1650" t="s">
        <v>987</v>
      </c>
      <c r="B1" s="1650"/>
      <c r="C1" s="1650"/>
      <c r="D1" s="1650"/>
      <c r="E1" s="1650"/>
      <c r="F1" s="654"/>
      <c r="G1" s="1650" t="s">
        <v>1011</v>
      </c>
      <c r="H1" s="1650"/>
      <c r="I1" s="1650"/>
      <c r="J1" s="1650"/>
      <c r="K1" s="1650"/>
      <c r="L1" s="1650"/>
      <c r="M1" s="1650"/>
      <c r="N1" s="1650"/>
    </row>
    <row r="2" spans="1:14" ht="15.6">
      <c r="A2" s="1812"/>
      <c r="B2" s="1812"/>
      <c r="C2" s="1812"/>
      <c r="D2" s="1812"/>
      <c r="E2" s="1812"/>
      <c r="F2" s="653"/>
      <c r="G2" s="1807" t="s">
        <v>1012</v>
      </c>
      <c r="H2" s="1807"/>
      <c r="I2" s="1807"/>
      <c r="J2" s="1807"/>
      <c r="K2" s="1807"/>
      <c r="L2" s="1807"/>
      <c r="M2" s="1807"/>
      <c r="N2" s="1807"/>
    </row>
    <row r="3" spans="1:14" ht="15" thickBot="1">
      <c r="A3" s="652"/>
      <c r="B3" s="652"/>
      <c r="C3" s="652"/>
      <c r="D3" s="652"/>
      <c r="E3" s="652"/>
      <c r="F3" s="652"/>
      <c r="G3" s="652"/>
      <c r="H3" s="652"/>
    </row>
    <row r="4" spans="1:14" ht="20.100000000000001" customHeight="1" thickTop="1" thickBot="1">
      <c r="A4" s="655" t="s">
        <v>3</v>
      </c>
      <c r="B4" s="656" t="s">
        <v>4</v>
      </c>
      <c r="C4" s="656" t="s">
        <v>988</v>
      </c>
      <c r="D4" s="656" t="s">
        <v>989</v>
      </c>
      <c r="E4" s="657" t="s">
        <v>803</v>
      </c>
      <c r="F4" s="651"/>
      <c r="G4" s="1808" t="s">
        <v>3</v>
      </c>
      <c r="H4" s="1810" t="s">
        <v>4</v>
      </c>
      <c r="I4" s="1810" t="s">
        <v>5</v>
      </c>
      <c r="J4" s="1810" t="s">
        <v>6</v>
      </c>
      <c r="K4" s="1810" t="s">
        <v>7</v>
      </c>
      <c r="L4" s="672" t="s">
        <v>8</v>
      </c>
      <c r="M4" s="672" t="s">
        <v>9</v>
      </c>
      <c r="N4" s="673" t="s">
        <v>10</v>
      </c>
    </row>
    <row r="5" spans="1:14" ht="20.100000000000001" customHeight="1" thickTop="1" thickBot="1">
      <c r="A5" s="663"/>
      <c r="B5" s="661"/>
      <c r="C5" s="665"/>
      <c r="D5" s="665"/>
      <c r="E5" s="662"/>
      <c r="G5" s="1809"/>
      <c r="H5" s="1811"/>
      <c r="I5" s="1811"/>
      <c r="J5" s="1811"/>
      <c r="K5" s="1811"/>
      <c r="L5" s="674" t="s">
        <v>11</v>
      </c>
      <c r="M5" s="674" t="s">
        <v>11</v>
      </c>
      <c r="N5" s="675" t="s">
        <v>11</v>
      </c>
    </row>
    <row r="6" spans="1:14" ht="20.100000000000001" customHeight="1" thickTop="1">
      <c r="A6" s="664">
        <v>1</v>
      </c>
      <c r="B6" s="660" t="s">
        <v>990</v>
      </c>
      <c r="C6" s="557">
        <v>1</v>
      </c>
      <c r="D6" s="666" t="s">
        <v>21</v>
      </c>
      <c r="E6" s="670" t="s">
        <v>1003</v>
      </c>
      <c r="G6" s="663"/>
      <c r="H6" s="665"/>
      <c r="I6" s="665"/>
      <c r="J6" s="665"/>
      <c r="K6" s="665"/>
      <c r="L6" s="665"/>
      <c r="M6" s="665"/>
      <c r="N6" s="676"/>
    </row>
    <row r="7" spans="1:14" ht="20.100000000000001" customHeight="1">
      <c r="A7" s="664"/>
      <c r="B7" s="658" t="s">
        <v>991</v>
      </c>
      <c r="C7" s="557"/>
      <c r="D7" s="557"/>
      <c r="E7" s="670" t="s">
        <v>1004</v>
      </c>
      <c r="G7" s="677" t="s">
        <v>12</v>
      </c>
      <c r="H7" s="678" t="s">
        <v>19</v>
      </c>
      <c r="I7" s="546"/>
      <c r="J7" s="546"/>
      <c r="K7" s="546"/>
      <c r="L7" s="546"/>
      <c r="M7" s="546"/>
      <c r="N7" s="679"/>
    </row>
    <row r="8" spans="1:14" ht="20.100000000000001" customHeight="1">
      <c r="A8" s="664"/>
      <c r="B8" s="660" t="s">
        <v>992</v>
      </c>
      <c r="C8" s="557"/>
      <c r="D8" s="557"/>
      <c r="E8" s="670" t="s">
        <v>1002</v>
      </c>
      <c r="G8" s="680"/>
      <c r="H8" s="681" t="s">
        <v>1013</v>
      </c>
      <c r="I8" s="557">
        <v>1</v>
      </c>
      <c r="J8" s="666" t="s">
        <v>334</v>
      </c>
      <c r="K8" s="666" t="s">
        <v>421</v>
      </c>
      <c r="L8" s="682">
        <v>572670</v>
      </c>
      <c r="M8" s="682">
        <f>I8*L8</f>
        <v>572670</v>
      </c>
      <c r="N8" s="679"/>
    </row>
    <row r="9" spans="1:14" ht="20.100000000000001" customHeight="1">
      <c r="A9" s="664"/>
      <c r="B9" s="660" t="s">
        <v>1010</v>
      </c>
      <c r="C9" s="557"/>
      <c r="D9" s="557"/>
      <c r="E9" s="659"/>
      <c r="G9" s="680"/>
      <c r="H9" s="681" t="s">
        <v>1014</v>
      </c>
      <c r="I9" s="557">
        <v>1</v>
      </c>
      <c r="J9" s="666" t="s">
        <v>893</v>
      </c>
      <c r="K9" s="666" t="s">
        <v>421</v>
      </c>
      <c r="L9" s="682">
        <v>605385</v>
      </c>
      <c r="M9" s="682">
        <f t="shared" ref="M9:M19" si="0">I9*L9</f>
        <v>605385</v>
      </c>
      <c r="N9" s="679"/>
    </row>
    <row r="10" spans="1:14" ht="20.100000000000001" customHeight="1">
      <c r="A10" s="664"/>
      <c r="B10" s="660" t="s">
        <v>1009</v>
      </c>
      <c r="C10" s="557"/>
      <c r="D10" s="557"/>
      <c r="E10" s="659"/>
      <c r="G10" s="680"/>
      <c r="H10" s="681" t="s">
        <v>1025</v>
      </c>
      <c r="I10" s="557">
        <v>2</v>
      </c>
      <c r="J10" s="666" t="s">
        <v>893</v>
      </c>
      <c r="K10" s="666" t="s">
        <v>421</v>
      </c>
      <c r="L10" s="682">
        <v>302692</v>
      </c>
      <c r="M10" s="682">
        <f t="shared" si="0"/>
        <v>605384</v>
      </c>
      <c r="N10" s="679"/>
    </row>
    <row r="11" spans="1:14" ht="20.100000000000001" customHeight="1">
      <c r="A11" s="664"/>
      <c r="B11" s="660"/>
      <c r="C11" s="557"/>
      <c r="D11" s="557"/>
      <c r="E11" s="659"/>
      <c r="G11" s="680"/>
      <c r="H11" s="678" t="s">
        <v>1026</v>
      </c>
      <c r="I11" s="557"/>
      <c r="J11" s="666"/>
      <c r="K11" s="666"/>
      <c r="L11" s="682"/>
      <c r="M11" s="682"/>
      <c r="N11" s="679"/>
    </row>
    <row r="12" spans="1:14" ht="20.100000000000001" customHeight="1">
      <c r="A12" s="664"/>
      <c r="B12" s="660" t="s">
        <v>993</v>
      </c>
      <c r="C12" s="557"/>
      <c r="D12" s="557"/>
      <c r="E12" s="659"/>
      <c r="G12" s="680"/>
      <c r="H12" s="681" t="s">
        <v>1016</v>
      </c>
      <c r="I12" s="557">
        <v>1</v>
      </c>
      <c r="J12" s="666" t="s">
        <v>334</v>
      </c>
      <c r="K12" s="666" t="s">
        <v>421</v>
      </c>
      <c r="L12" s="682">
        <v>3500000</v>
      </c>
      <c r="M12" s="682">
        <f t="shared" si="0"/>
        <v>3500000</v>
      </c>
      <c r="N12" s="679"/>
    </row>
    <row r="13" spans="1:14" ht="20.100000000000001" customHeight="1">
      <c r="A13" s="664"/>
      <c r="B13" s="660" t="s">
        <v>1008</v>
      </c>
      <c r="C13" s="557"/>
      <c r="D13" s="557"/>
      <c r="E13" s="659"/>
      <c r="G13" s="680"/>
      <c r="H13" s="678" t="s">
        <v>1015</v>
      </c>
      <c r="I13" s="557"/>
      <c r="J13" s="557"/>
      <c r="K13" s="557"/>
      <c r="L13" s="682"/>
      <c r="M13" s="682"/>
      <c r="N13" s="679"/>
    </row>
    <row r="14" spans="1:14" ht="20.100000000000001" customHeight="1">
      <c r="A14" s="664"/>
      <c r="B14" s="660" t="s">
        <v>995</v>
      </c>
      <c r="C14" s="557"/>
      <c r="D14" s="557"/>
      <c r="E14" s="659"/>
      <c r="G14" s="680"/>
      <c r="H14" s="681" t="s">
        <v>1017</v>
      </c>
      <c r="I14" s="557">
        <v>1</v>
      </c>
      <c r="J14" s="666" t="s">
        <v>334</v>
      </c>
      <c r="K14" s="666" t="s">
        <v>421</v>
      </c>
      <c r="L14" s="682">
        <v>2000000</v>
      </c>
      <c r="M14" s="682">
        <f t="shared" si="0"/>
        <v>2000000</v>
      </c>
      <c r="N14" s="679"/>
    </row>
    <row r="15" spans="1:14" ht="20.100000000000001" customHeight="1">
      <c r="A15" s="664"/>
      <c r="B15" s="660" t="s">
        <v>994</v>
      </c>
      <c r="C15" s="557"/>
      <c r="D15" s="557"/>
      <c r="E15" s="659"/>
      <c r="G15" s="680"/>
      <c r="H15" s="681" t="s">
        <v>1021</v>
      </c>
      <c r="I15" s="557">
        <v>160</v>
      </c>
      <c r="J15" s="666" t="s">
        <v>919</v>
      </c>
      <c r="K15" s="666" t="s">
        <v>421</v>
      </c>
      <c r="L15" s="682">
        <v>4790</v>
      </c>
      <c r="M15" s="682">
        <f t="shared" si="0"/>
        <v>766400</v>
      </c>
      <c r="N15" s="679"/>
    </row>
    <row r="16" spans="1:14" ht="20.100000000000001" customHeight="1">
      <c r="A16" s="664">
        <v>2</v>
      </c>
      <c r="B16" s="660" t="s">
        <v>998</v>
      </c>
      <c r="C16" s="557">
        <v>180</v>
      </c>
      <c r="D16" s="666" t="s">
        <v>919</v>
      </c>
      <c r="E16" s="659"/>
      <c r="G16" s="680"/>
      <c r="H16" s="678" t="s">
        <v>1018</v>
      </c>
      <c r="I16" s="557"/>
      <c r="J16" s="557"/>
      <c r="K16" s="557"/>
      <c r="L16" s="682"/>
      <c r="M16" s="682"/>
      <c r="N16" s="679"/>
    </row>
    <row r="17" spans="1:14" ht="20.100000000000001" customHeight="1">
      <c r="A17" s="664">
        <v>3</v>
      </c>
      <c r="B17" s="660" t="s">
        <v>996</v>
      </c>
      <c r="C17" s="557">
        <v>10</v>
      </c>
      <c r="D17" s="666" t="s">
        <v>893</v>
      </c>
      <c r="E17" s="659"/>
      <c r="G17" s="680"/>
      <c r="H17" s="681" t="s">
        <v>1022</v>
      </c>
      <c r="I17" s="557">
        <v>6</v>
      </c>
      <c r="J17" s="666" t="s">
        <v>919</v>
      </c>
      <c r="K17" s="666" t="s">
        <v>421</v>
      </c>
      <c r="L17" s="682">
        <v>7815</v>
      </c>
      <c r="M17" s="682">
        <f t="shared" si="0"/>
        <v>46890</v>
      </c>
      <c r="N17" s="679"/>
    </row>
    <row r="18" spans="1:14" ht="20.100000000000001" customHeight="1">
      <c r="A18" s="664">
        <v>4</v>
      </c>
      <c r="B18" s="660" t="s">
        <v>997</v>
      </c>
      <c r="C18" s="557">
        <v>6</v>
      </c>
      <c r="D18" s="666" t="s">
        <v>919</v>
      </c>
      <c r="E18" s="659"/>
      <c r="G18" s="680"/>
      <c r="H18" s="678" t="s">
        <v>1019</v>
      </c>
      <c r="I18" s="557"/>
      <c r="J18" s="557"/>
      <c r="K18" s="557"/>
      <c r="L18" s="682"/>
      <c r="M18" s="682"/>
      <c r="N18" s="679"/>
    </row>
    <row r="19" spans="1:14" ht="20.100000000000001" customHeight="1">
      <c r="A19" s="664">
        <v>5</v>
      </c>
      <c r="B19" s="660" t="s">
        <v>999</v>
      </c>
      <c r="C19" s="557">
        <v>2</v>
      </c>
      <c r="D19" s="666" t="s">
        <v>893</v>
      </c>
      <c r="E19" s="659"/>
      <c r="G19" s="680"/>
      <c r="H19" s="681" t="s">
        <v>1020</v>
      </c>
      <c r="I19" s="557">
        <v>2</v>
      </c>
      <c r="J19" s="666" t="s">
        <v>977</v>
      </c>
      <c r="K19" s="666" t="s">
        <v>410</v>
      </c>
      <c r="L19" s="682">
        <v>75000</v>
      </c>
      <c r="M19" s="682">
        <f t="shared" si="0"/>
        <v>150000</v>
      </c>
      <c r="N19" s="679"/>
    </row>
    <row r="20" spans="1:14" ht="20.100000000000001" customHeight="1">
      <c r="A20" s="664">
        <v>6</v>
      </c>
      <c r="B20" s="660" t="s">
        <v>1000</v>
      </c>
      <c r="C20" s="557">
        <v>72</v>
      </c>
      <c r="D20" s="666" t="s">
        <v>893</v>
      </c>
      <c r="E20" s="659"/>
      <c r="G20" s="680"/>
      <c r="H20" s="546"/>
      <c r="I20" s="546"/>
      <c r="J20" s="546"/>
      <c r="K20" s="546"/>
      <c r="L20" s="546"/>
      <c r="M20" s="546"/>
      <c r="N20" s="679"/>
    </row>
    <row r="21" spans="1:14" ht="20.100000000000001" customHeight="1">
      <c r="A21" s="664">
        <v>7</v>
      </c>
      <c r="B21" s="660" t="s">
        <v>1001</v>
      </c>
      <c r="C21" s="557">
        <v>2</v>
      </c>
      <c r="D21" s="666" t="s">
        <v>919</v>
      </c>
      <c r="E21" s="659"/>
      <c r="G21" s="683"/>
      <c r="H21" s="329"/>
      <c r="I21" s="346"/>
      <c r="J21" s="693" t="s">
        <v>1023</v>
      </c>
      <c r="K21" s="331"/>
      <c r="L21" s="346"/>
      <c r="M21" s="348">
        <f>SUM(M8:M19)</f>
        <v>8246729</v>
      </c>
      <c r="N21" s="684">
        <f>SUM(M21:M22)</f>
        <v>9071401.9000000004</v>
      </c>
    </row>
    <row r="22" spans="1:14" ht="20.100000000000001" customHeight="1" thickBot="1">
      <c r="A22" s="667"/>
      <c r="B22" s="668"/>
      <c r="C22" s="668"/>
      <c r="D22" s="668"/>
      <c r="E22" s="669"/>
      <c r="G22" s="685"/>
      <c r="H22" s="334"/>
      <c r="I22" s="349"/>
      <c r="J22" s="349"/>
      <c r="K22" s="336"/>
      <c r="L22" s="350" t="s">
        <v>26</v>
      </c>
      <c r="M22" s="351">
        <f>M21/10</f>
        <v>824672.9</v>
      </c>
      <c r="N22" s="686"/>
    </row>
    <row r="23" spans="1:14" ht="15" thickTop="1">
      <c r="G23" s="687" t="s">
        <v>27</v>
      </c>
      <c r="H23" s="354"/>
      <c r="I23" s="354"/>
      <c r="J23" s="354"/>
      <c r="K23" s="354"/>
      <c r="L23" s="355"/>
      <c r="M23" s="320" t="s">
        <v>28</v>
      </c>
      <c r="N23" s="684">
        <f>N8+N21</f>
        <v>9071401.9000000004</v>
      </c>
    </row>
    <row r="24" spans="1:14" ht="15" thickBot="1">
      <c r="B24" s="652" t="s">
        <v>1006</v>
      </c>
      <c r="E24" s="520" t="s">
        <v>1005</v>
      </c>
      <c r="G24" s="688"/>
      <c r="H24" s="694" t="s">
        <v>1024</v>
      </c>
      <c r="I24" s="689"/>
      <c r="J24" s="689"/>
      <c r="K24" s="689"/>
      <c r="L24" s="690"/>
      <c r="M24" s="691" t="s">
        <v>30</v>
      </c>
      <c r="N24" s="692">
        <f>ROUND(N23,-2)</f>
        <v>9071400</v>
      </c>
    </row>
    <row r="25" spans="1:14" ht="15" thickTop="1">
      <c r="B25" s="520"/>
    </row>
    <row r="26" spans="1:14">
      <c r="B26" s="520"/>
    </row>
    <row r="27" spans="1:14">
      <c r="B27" s="520"/>
    </row>
    <row r="28" spans="1:14">
      <c r="B28" s="671" t="s">
        <v>35</v>
      </c>
      <c r="E28" s="671" t="s">
        <v>36</v>
      </c>
    </row>
    <row r="29" spans="1:14">
      <c r="B29" s="652" t="s">
        <v>1007</v>
      </c>
      <c r="E29" s="652" t="s">
        <v>39</v>
      </c>
    </row>
    <row r="33" spans="1:5" ht="18">
      <c r="A33" s="1650" t="s">
        <v>1011</v>
      </c>
      <c r="B33" s="1650"/>
      <c r="C33" s="1650"/>
      <c r="D33" s="1650"/>
      <c r="E33" s="1650"/>
    </row>
    <row r="34" spans="1:5" ht="15.6">
      <c r="A34" s="1807" t="s">
        <v>1012</v>
      </c>
      <c r="B34" s="1807"/>
      <c r="C34" s="1807"/>
      <c r="D34" s="1807"/>
      <c r="E34" s="1807"/>
    </row>
  </sheetData>
  <mergeCells count="11">
    <mergeCell ref="K4:K5"/>
    <mergeCell ref="G1:N1"/>
    <mergeCell ref="G2:N2"/>
    <mergeCell ref="A2:E2"/>
    <mergeCell ref="A1:E1"/>
    <mergeCell ref="J4:J5"/>
    <mergeCell ref="A33:E33"/>
    <mergeCell ref="A34:E34"/>
    <mergeCell ref="G4:G5"/>
    <mergeCell ref="H4:H5"/>
    <mergeCell ref="I4:I5"/>
  </mergeCells>
  <printOptions horizontalCentered="1"/>
  <pageMargins left="0.11811023622047245" right="0.11811023622047245" top="0.39370078740157483" bottom="0.19685039370078741" header="0.31496062992125984" footer="0.31496062992125984"/>
  <pageSetup paperSize="9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2" sqref="B2"/>
    </sheetView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BreakDown Tangki</vt:lpstr>
      <vt:lpstr>Tangki Solar</vt:lpstr>
      <vt:lpstr>rab 2016</vt:lpstr>
      <vt:lpstr>rab 2015</vt:lpstr>
      <vt:lpstr>rab 2012</vt:lpstr>
      <vt:lpstr>BreakDown</vt:lpstr>
      <vt:lpstr>Scudel</vt:lpstr>
      <vt:lpstr>Material</vt:lpstr>
      <vt:lpstr>Alas dasar Pengadaan</vt:lpstr>
      <vt:lpstr>BreakDown!Print_Area</vt:lpstr>
      <vt:lpstr>'BreakDown Tangki'!Print_Area</vt:lpstr>
      <vt:lpstr>'rab 2016'!Print_Area</vt:lpstr>
      <vt:lpstr>'Tangki Solar'!Print_Area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Windows User</cp:lastModifiedBy>
  <cp:revision/>
  <cp:lastPrinted>2023-06-12T22:39:57Z</cp:lastPrinted>
  <dcterms:created xsi:type="dcterms:W3CDTF">2012-03-21T04:38:16Z</dcterms:created>
  <dcterms:modified xsi:type="dcterms:W3CDTF">2023-06-12T22:40:29Z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