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9570" yWindow="-75" windowWidth="5730" windowHeight="8055" tabRatio="640" firstSheet="4" activeTab="4"/>
  </bookViews>
  <sheets>
    <sheet name="TEK TRANSMISI 18-19-20-21" sheetId="12" r:id="rId1"/>
    <sheet name="PELAYANAN 24 JAM 22-23-24-25" sheetId="10" r:id="rId2"/>
    <sheet name="TEK.Trans.Zona1" sheetId="2" r:id="rId3"/>
    <sheet name="PANJANG PIPA. Zona1" sheetId="11" r:id="rId4"/>
    <sheet name="D. Hrn" sheetId="39" r:id="rId5"/>
  </sheets>
  <definedNames>
    <definedName name="_xlnm.Print_Area" localSheetId="4">'D. Hrn'!#REF!</definedName>
    <definedName name="_xlnm.Print_Area" localSheetId="3">'PANJANG PIPA. Zona1'!$A$1:$V$24</definedName>
    <definedName name="_xlnm.Print_Area" localSheetId="1">'PELAYANAN 24 JAM 22-23-24-25'!$A$1:$G$310</definedName>
    <definedName name="_xlnm.Print_Area" localSheetId="0">'TEK TRANSMISI 18-19-20-21'!$A$1:$E$225</definedName>
    <definedName name="_xlnm.Print_Area" localSheetId="2">TEK.Trans.Zona1!$A$1:$AQ$83</definedName>
  </definedNames>
  <calcPr calcId="125725"/>
</workbook>
</file>

<file path=xl/calcChain.xml><?xml version="1.0" encoding="utf-8"?>
<calcChain xmlns="http://schemas.openxmlformats.org/spreadsheetml/2006/main">
  <c r="Q34" i="39"/>
  <c r="M34"/>
  <c r="I34"/>
  <c r="E34"/>
  <c r="F18" i="11"/>
  <c r="E18"/>
  <c r="U18" s="1"/>
  <c r="D18"/>
  <c r="C18"/>
  <c r="F15"/>
  <c r="D15"/>
  <c r="U15" s="1"/>
  <c r="C15"/>
  <c r="C6"/>
  <c r="D17"/>
  <c r="C17"/>
  <c r="E14"/>
  <c r="D14"/>
  <c r="C14"/>
  <c r="C9"/>
  <c r="U9" s="1"/>
  <c r="C12"/>
  <c r="E12"/>
  <c r="D12"/>
  <c r="D13"/>
  <c r="U13" s="1"/>
  <c r="C13"/>
  <c r="D7"/>
  <c r="C7"/>
  <c r="C20"/>
  <c r="U20" s="1"/>
  <c r="C11"/>
  <c r="D8"/>
  <c r="C8"/>
  <c r="D6"/>
  <c r="U6" s="1"/>
  <c r="E15"/>
  <c r="F7"/>
  <c r="F12"/>
  <c r="D16"/>
  <c r="U16" s="1"/>
  <c r="C16"/>
  <c r="E20"/>
  <c r="H7"/>
  <c r="E7"/>
  <c r="E23" s="1"/>
  <c r="E13"/>
  <c r="F8"/>
  <c r="E8"/>
  <c r="F11"/>
  <c r="U11" s="1"/>
  <c r="E11"/>
  <c r="D11"/>
  <c r="H12"/>
  <c r="E17"/>
  <c r="E9"/>
  <c r="AT44" i="2"/>
  <c r="I35"/>
  <c r="H35"/>
  <c r="G35"/>
  <c r="F35"/>
  <c r="E35"/>
  <c r="D35"/>
  <c r="C35"/>
  <c r="U27"/>
  <c r="N27"/>
  <c r="Y21"/>
  <c r="X21"/>
  <c r="W21"/>
  <c r="V21"/>
  <c r="U21"/>
  <c r="T21"/>
  <c r="S21"/>
  <c r="R21"/>
  <c r="Q21"/>
  <c r="P21"/>
  <c r="N21"/>
  <c r="M21"/>
  <c r="L21"/>
  <c r="K21"/>
  <c r="J21"/>
  <c r="I21"/>
  <c r="H21"/>
  <c r="G21"/>
  <c r="F21"/>
  <c r="E21"/>
  <c r="D21"/>
  <c r="C21"/>
  <c r="AQ17"/>
  <c r="AP17"/>
  <c r="O17"/>
  <c r="M17"/>
  <c r="L17"/>
  <c r="K17"/>
  <c r="J17"/>
  <c r="I17"/>
  <c r="H17"/>
  <c r="G17"/>
  <c r="F17"/>
  <c r="E17"/>
  <c r="D17"/>
  <c r="C17"/>
  <c r="Y13"/>
  <c r="S13"/>
  <c r="L13"/>
  <c r="Z11"/>
  <c r="V11"/>
  <c r="S11"/>
  <c r="L11"/>
  <c r="K11"/>
  <c r="J11"/>
  <c r="H11"/>
  <c r="G11"/>
  <c r="F11"/>
  <c r="C11"/>
  <c r="D9" i="11"/>
  <c r="E16"/>
  <c r="H18"/>
  <c r="A39" i="2"/>
  <c r="E6" i="11"/>
  <c r="H13"/>
  <c r="D20"/>
  <c r="H11"/>
  <c r="F16"/>
  <c r="AT72" i="2"/>
  <c r="AT70"/>
  <c r="AT68"/>
  <c r="AT66"/>
  <c r="AT62"/>
  <c r="AT58"/>
  <c r="AT56"/>
  <c r="AT54"/>
  <c r="AT50"/>
  <c r="AT48"/>
  <c r="AT46"/>
  <c r="AW44"/>
  <c r="AW46"/>
  <c r="E19" i="11"/>
  <c r="C19"/>
  <c r="U19" s="1"/>
  <c r="H15"/>
  <c r="F19"/>
  <c r="D19"/>
  <c r="F14"/>
  <c r="U14" s="1"/>
  <c r="F6"/>
  <c r="H19"/>
  <c r="H8"/>
  <c r="H23" s="1"/>
  <c r="D10"/>
  <c r="C10"/>
  <c r="U10" s="1"/>
  <c r="R32" i="39"/>
  <c r="R34" s="1"/>
  <c r="Q32"/>
  <c r="P32"/>
  <c r="P34" s="1"/>
  <c r="O32"/>
  <c r="O34" s="1"/>
  <c r="N32"/>
  <c r="N34" s="1"/>
  <c r="M32"/>
  <c r="L32"/>
  <c r="L34" s="1"/>
  <c r="K32"/>
  <c r="K34" s="1"/>
  <c r="J32"/>
  <c r="J34" s="1"/>
  <c r="I32"/>
  <c r="H32"/>
  <c r="H34" s="1"/>
  <c r="G32"/>
  <c r="G34" s="1"/>
  <c r="F32"/>
  <c r="F34" s="1"/>
  <c r="E32"/>
  <c r="D32"/>
  <c r="D34" s="1"/>
  <c r="C32"/>
  <c r="C34" s="1"/>
  <c r="S31"/>
  <c r="S30"/>
  <c r="S29"/>
  <c r="S28"/>
  <c r="S27"/>
  <c r="S26"/>
  <c r="S25"/>
  <c r="S24"/>
  <c r="S23"/>
  <c r="S22"/>
  <c r="S21"/>
  <c r="S20"/>
  <c r="S19"/>
  <c r="S18"/>
  <c r="S17"/>
  <c r="S16"/>
  <c r="S15"/>
  <c r="S14"/>
  <c r="S13"/>
  <c r="S12"/>
  <c r="S11"/>
  <c r="S10"/>
  <c r="S9"/>
  <c r="S8"/>
  <c r="AU101" i="2"/>
  <c r="AT64"/>
  <c r="AT60"/>
  <c r="H16" i="11"/>
  <c r="H6"/>
  <c r="F13"/>
  <c r="F20"/>
  <c r="H20"/>
  <c r="H14"/>
  <c r="A3" i="12"/>
  <c r="A61" s="1"/>
  <c r="A117" s="1"/>
  <c r="A171" s="1"/>
  <c r="E10" i="11"/>
  <c r="AT52" i="2"/>
  <c r="U17" i="11"/>
  <c r="U12"/>
  <c r="U7"/>
  <c r="T23"/>
  <c r="S23"/>
  <c r="R23"/>
  <c r="Q23"/>
  <c r="P23"/>
  <c r="N23"/>
  <c r="L23"/>
  <c r="J23"/>
  <c r="F23"/>
  <c r="G16"/>
  <c r="H10"/>
  <c r="F9"/>
  <c r="I6"/>
  <c r="I23" s="1"/>
  <c r="I107" i="2"/>
  <c r="I16" i="11"/>
  <c r="D289" i="10"/>
  <c r="A292" s="1"/>
  <c r="E298" s="1"/>
  <c r="D290"/>
  <c r="F17" i="11"/>
  <c r="H9"/>
  <c r="J16"/>
  <c r="AW50" i="2"/>
  <c r="AW74" s="1"/>
  <c r="M34" i="10" s="1"/>
  <c r="AW68" i="2"/>
  <c r="AW72"/>
  <c r="BD72"/>
  <c r="A7" i="1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G8"/>
  <c r="U8" s="1"/>
  <c r="I8"/>
  <c r="I9"/>
  <c r="K9"/>
  <c r="K23" s="1"/>
  <c r="O9"/>
  <c r="O23" s="1"/>
  <c r="Q9"/>
  <c r="F10"/>
  <c r="I10"/>
  <c r="J10"/>
  <c r="K10"/>
  <c r="K16"/>
  <c r="M16"/>
  <c r="M23" s="1"/>
  <c r="O16"/>
  <c r="H17"/>
  <c r="I19"/>
  <c r="K21"/>
  <c r="U21" s="1"/>
  <c r="K22"/>
  <c r="U22" s="1"/>
  <c r="U23" s="1"/>
  <c r="O22"/>
  <c r="R22"/>
  <c r="X25"/>
  <c r="AV44" i="2"/>
  <c r="BD44"/>
  <c r="D7" i="10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AY45" i="2"/>
  <c r="BD45"/>
  <c r="AV46"/>
  <c r="BD46"/>
  <c r="D37" i="10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AY47" i="2"/>
  <c r="BD47"/>
  <c r="AV48"/>
  <c r="AW48"/>
  <c r="BD48"/>
  <c r="D60" i="10"/>
  <c r="D61"/>
  <c r="D62"/>
  <c r="D63"/>
  <c r="D64"/>
  <c r="D65"/>
  <c r="D66"/>
  <c r="D67"/>
  <c r="D68"/>
  <c r="D69"/>
  <c r="D70"/>
  <c r="D72"/>
  <c r="D73"/>
  <c r="D74"/>
  <c r="D75"/>
  <c r="D76"/>
  <c r="D77"/>
  <c r="D78"/>
  <c r="D79"/>
  <c r="D80"/>
  <c r="D81"/>
  <c r="D82"/>
  <c r="AY49" i="2"/>
  <c r="BD49"/>
  <c r="AV50"/>
  <c r="D91" i="10"/>
  <c r="D92"/>
  <c r="A98" s="1"/>
  <c r="D93"/>
  <c r="D95"/>
  <c r="D96"/>
  <c r="D97"/>
  <c r="D98"/>
  <c r="D99"/>
  <c r="D100"/>
  <c r="D101"/>
  <c r="D103"/>
  <c r="D104"/>
  <c r="D105"/>
  <c r="D106"/>
  <c r="D107"/>
  <c r="D94"/>
  <c r="D102"/>
  <c r="AY51" i="2"/>
  <c r="BD51"/>
  <c r="AV52"/>
  <c r="AW52"/>
  <c r="M12" i="10" s="1"/>
  <c r="D112"/>
  <c r="D113"/>
  <c r="D114"/>
  <c r="D115"/>
  <c r="D116"/>
  <c r="D117"/>
  <c r="D118"/>
  <c r="D119"/>
  <c r="D120"/>
  <c r="D121"/>
  <c r="D122"/>
  <c r="AY53" i="2"/>
  <c r="BD53"/>
  <c r="AV54"/>
  <c r="AW54"/>
  <c r="BD54" s="1"/>
  <c r="D127" i="10"/>
  <c r="D128"/>
  <c r="D129"/>
  <c r="D130"/>
  <c r="D131"/>
  <c r="D132"/>
  <c r="D133"/>
  <c r="D134"/>
  <c r="D135"/>
  <c r="D136"/>
  <c r="A132" s="1"/>
  <c r="D137"/>
  <c r="D138"/>
  <c r="D139"/>
  <c r="AY55" i="2"/>
  <c r="BD55"/>
  <c r="AV56"/>
  <c r="AW56"/>
  <c r="BD56"/>
  <c r="D144" i="10"/>
  <c r="D145"/>
  <c r="D146"/>
  <c r="D147"/>
  <c r="A151" s="1"/>
  <c r="D148"/>
  <c r="D149"/>
  <c r="D150"/>
  <c r="D151"/>
  <c r="D152"/>
  <c r="D153"/>
  <c r="D154"/>
  <c r="D155"/>
  <c r="D156"/>
  <c r="D157"/>
  <c r="D158"/>
  <c r="D159"/>
  <c r="BI56" i="2"/>
  <c r="BJ56" s="1"/>
  <c r="BL56" s="1"/>
  <c r="AY57"/>
  <c r="BD57"/>
  <c r="AV58"/>
  <c r="AW58"/>
  <c r="M18" i="10"/>
  <c r="D168"/>
  <c r="D169"/>
  <c r="A179" s="1"/>
  <c r="E193" s="1"/>
  <c r="D170"/>
  <c r="D171"/>
  <c r="D172"/>
  <c r="D173"/>
  <c r="D174"/>
  <c r="D175"/>
  <c r="D176"/>
  <c r="D177"/>
  <c r="D178"/>
  <c r="D179"/>
  <c r="D180"/>
  <c r="D181"/>
  <c r="D182"/>
  <c r="D183"/>
  <c r="D184"/>
  <c r="D185"/>
  <c r="D186"/>
  <c r="D187"/>
  <c r="D188"/>
  <c r="D189"/>
  <c r="D190"/>
  <c r="D191"/>
  <c r="D192"/>
  <c r="BJ58" i="2"/>
  <c r="BL58"/>
  <c r="AY59"/>
  <c r="BD59"/>
  <c r="AV60"/>
  <c r="AW60"/>
  <c r="BD60" s="1"/>
  <c r="D197" i="10"/>
  <c r="D198"/>
  <c r="D199"/>
  <c r="D200"/>
  <c r="D201"/>
  <c r="D202"/>
  <c r="D203"/>
  <c r="D204"/>
  <c r="D205"/>
  <c r="D206"/>
  <c r="D207"/>
  <c r="AY61" i="2"/>
  <c r="BD61"/>
  <c r="AV62"/>
  <c r="AW62"/>
  <c r="BD62" s="1"/>
  <c r="D212" i="10"/>
  <c r="D213"/>
  <c r="D214"/>
  <c r="D215"/>
  <c r="D216"/>
  <c r="D217"/>
  <c r="D218"/>
  <c r="D219"/>
  <c r="D220"/>
  <c r="D221"/>
  <c r="D222"/>
  <c r="D223"/>
  <c r="D224"/>
  <c r="D225"/>
  <c r="AY63" i="2"/>
  <c r="BD63"/>
  <c r="AV64"/>
  <c r="AW64"/>
  <c r="BD64"/>
  <c r="D230" i="10"/>
  <c r="D231"/>
  <c r="D232"/>
  <c r="D233"/>
  <c r="D234"/>
  <c r="D235"/>
  <c r="D236"/>
  <c r="D237"/>
  <c r="D238"/>
  <c r="D239"/>
  <c r="D240"/>
  <c r="D241"/>
  <c r="D242"/>
  <c r="AY65" i="2"/>
  <c r="BD65"/>
  <c r="AV66"/>
  <c r="AW66"/>
  <c r="BD66" s="1"/>
  <c r="D251" i="10"/>
  <c r="D252"/>
  <c r="D253"/>
  <c r="D254"/>
  <c r="D255"/>
  <c r="D256"/>
  <c r="D257"/>
  <c r="D258"/>
  <c r="D259"/>
  <c r="D260"/>
  <c r="D261"/>
  <c r="D262"/>
  <c r="D263"/>
  <c r="D264"/>
  <c r="D265"/>
  <c r="D266"/>
  <c r="AY67" i="2"/>
  <c r="BA67"/>
  <c r="BD67"/>
  <c r="AV68"/>
  <c r="D271" i="10"/>
  <c r="D272"/>
  <c r="D273"/>
  <c r="D274"/>
  <c r="D275"/>
  <c r="D276"/>
  <c r="D277"/>
  <c r="D278"/>
  <c r="D279"/>
  <c r="D280"/>
  <c r="D281"/>
  <c r="D282"/>
  <c r="D283"/>
  <c r="AY69" i="2"/>
  <c r="BD69"/>
  <c r="AV70"/>
  <c r="AW70"/>
  <c r="BD70"/>
  <c r="D288" i="10"/>
  <c r="D291"/>
  <c r="D292"/>
  <c r="D293"/>
  <c r="D294"/>
  <c r="D295"/>
  <c r="D296"/>
  <c r="D297"/>
  <c r="AY71" i="2"/>
  <c r="BD71"/>
  <c r="AV72"/>
  <c r="D302" i="10"/>
  <c r="D303"/>
  <c r="D304"/>
  <c r="D305"/>
  <c r="D306"/>
  <c r="D307"/>
  <c r="D308"/>
  <c r="AY73" i="2"/>
  <c r="A2" i="10"/>
  <c r="A86" s="1"/>
  <c r="Q14"/>
  <c r="Q15"/>
  <c r="Q16"/>
  <c r="Q17" s="1"/>
  <c r="H25"/>
  <c r="I25"/>
  <c r="K25"/>
  <c r="M25"/>
  <c r="N25"/>
  <c r="O25"/>
  <c r="X25"/>
  <c r="A2" i="12"/>
  <c r="G25"/>
  <c r="H25"/>
  <c r="I25"/>
  <c r="K25"/>
  <c r="M25"/>
  <c r="N25"/>
  <c r="O25"/>
  <c r="X25"/>
  <c r="A100"/>
  <c r="A102"/>
  <c r="A103"/>
  <c r="A111"/>
  <c r="A112" s="1"/>
  <c r="M32" i="10"/>
  <c r="BD58" i="2"/>
  <c r="M6" i="10"/>
  <c r="M28"/>
  <c r="M14"/>
  <c r="M4"/>
  <c r="M30"/>
  <c r="M8"/>
  <c r="M16"/>
  <c r="BD68" i="2"/>
  <c r="A47" i="10"/>
  <c r="E56" s="1"/>
  <c r="M24"/>
  <c r="A236"/>
  <c r="E243" s="1"/>
  <c r="S32" i="39"/>
  <c r="N6" i="10" l="1"/>
  <c r="A304"/>
  <c r="A259"/>
  <c r="E267" s="1"/>
  <c r="A116"/>
  <c r="A69"/>
  <c r="E83" s="1"/>
  <c r="A218"/>
  <c r="A202"/>
  <c r="L20" s="1"/>
  <c r="AY60" i="2" s="1"/>
  <c r="BA60" s="1"/>
  <c r="L6" i="10"/>
  <c r="AY46" i="2" s="1"/>
  <c r="BA46" s="1"/>
  <c r="A276" i="10"/>
  <c r="L28" s="1"/>
  <c r="AY68" i="2" s="1"/>
  <c r="BA68" s="1"/>
  <c r="A19" i="10"/>
  <c r="F193"/>
  <c r="G193" s="1"/>
  <c r="L32"/>
  <c r="E309"/>
  <c r="L26"/>
  <c r="AY66" i="2" s="1"/>
  <c r="BA66" s="1"/>
  <c r="E123" i="10"/>
  <c r="L12"/>
  <c r="AY52" i="2" s="1"/>
  <c r="BA52" s="1"/>
  <c r="L8" i="10"/>
  <c r="AY48" i="2" s="1"/>
  <c r="BA48" s="1"/>
  <c r="F298" i="10"/>
  <c r="G298" s="1"/>
  <c r="E226"/>
  <c r="L22"/>
  <c r="AY62" i="2" s="1"/>
  <c r="BA62" s="1"/>
  <c r="N12" i="10"/>
  <c r="F243"/>
  <c r="G243" s="1"/>
  <c r="F56"/>
  <c r="G56" s="1"/>
  <c r="E208"/>
  <c r="E160"/>
  <c r="L16"/>
  <c r="L14"/>
  <c r="AY54" i="2" s="1"/>
  <c r="BA54" s="1"/>
  <c r="E140" i="10"/>
  <c r="E108"/>
  <c r="L10"/>
  <c r="AY50" i="2" s="1"/>
  <c r="BA50" s="1"/>
  <c r="S34" i="39"/>
  <c r="E284" i="10"/>
  <c r="E33"/>
  <c r="L4"/>
  <c r="N8"/>
  <c r="A163"/>
  <c r="M10"/>
  <c r="N10" s="1"/>
  <c r="M22"/>
  <c r="BD52" i="2"/>
  <c r="G23" i="11"/>
  <c r="L30" i="10"/>
  <c r="AY70" i="2" s="1"/>
  <c r="BA70" s="1"/>
  <c r="L18" i="10"/>
  <c r="AY58" i="2" s="1"/>
  <c r="BA58" s="1"/>
  <c r="L24" i="10"/>
  <c r="AY64" i="2" s="1"/>
  <c r="BA64" s="1"/>
  <c r="M20" i="10"/>
  <c r="A246"/>
  <c r="BD50" i="2"/>
  <c r="D23" i="11"/>
  <c r="M26" i="10"/>
  <c r="C23" i="11"/>
  <c r="N22" i="10" l="1"/>
  <c r="N20"/>
  <c r="AY56" i="2"/>
  <c r="BA56" s="1"/>
  <c r="N16" i="10"/>
  <c r="F226"/>
  <c r="G226" s="1"/>
  <c r="G33"/>
  <c r="F33"/>
  <c r="E310"/>
  <c r="F83"/>
  <c r="G83"/>
  <c r="F267"/>
  <c r="G267"/>
  <c r="BD73" i="2"/>
  <c r="N28" i="10"/>
  <c r="N30"/>
  <c r="N4"/>
  <c r="AY44" i="2"/>
  <c r="BA44" s="1"/>
  <c r="L34" i="10"/>
  <c r="F140"/>
  <c r="G140"/>
  <c r="F208"/>
  <c r="G208" s="1"/>
  <c r="F123"/>
  <c r="G123" s="1"/>
  <c r="AY72" i="2"/>
  <c r="BA72" s="1"/>
  <c r="N32" i="10"/>
  <c r="N14"/>
  <c r="F284"/>
  <c r="G284" s="1"/>
  <c r="F108"/>
  <c r="G108" s="1"/>
  <c r="F160"/>
  <c r="G160" s="1"/>
  <c r="F309"/>
  <c r="G309" s="1"/>
  <c r="N26"/>
  <c r="N24"/>
  <c r="N18"/>
  <c r="AY74" i="2" l="1"/>
  <c r="BA74" s="1"/>
  <c r="N34" i="10"/>
  <c r="F310"/>
  <c r="G310" s="1"/>
</calcChain>
</file>

<file path=xl/sharedStrings.xml><?xml version="1.0" encoding="utf-8"?>
<sst xmlns="http://schemas.openxmlformats.org/spreadsheetml/2006/main" count="1402" uniqueCount="408">
  <si>
    <t>Cabang-Cabang Divisi Operasi Zona-1</t>
  </si>
  <si>
    <t>NO</t>
  </si>
  <si>
    <t>LOKASI</t>
  </si>
  <si>
    <t>Sumber Tapping/Pipa</t>
  </si>
  <si>
    <t>Press         Rata-Rata</t>
  </si>
  <si>
    <t>Keterangan</t>
  </si>
  <si>
    <t>I</t>
  </si>
  <si>
    <t>Jalur Gunung</t>
  </si>
  <si>
    <t>Bak Two Rivers</t>
  </si>
  <si>
    <t>Ø 400 mm (Atas)</t>
  </si>
  <si>
    <t>Ø 400 mm (Bawah)</t>
  </si>
  <si>
    <t>Ø 300 mm (Atas)</t>
  </si>
  <si>
    <t>Ø 300 mm (Bawah)</t>
  </si>
  <si>
    <t>Ø 325 mm (Atas)</t>
  </si>
  <si>
    <t>Ø 325 mm (Bawah)</t>
  </si>
  <si>
    <t>Arjowinangun</t>
  </si>
  <si>
    <t>Ø 375 mm (Atas)</t>
  </si>
  <si>
    <t>Ø 375 mm (Bawah)</t>
  </si>
  <si>
    <t>Bak Gedung Johor</t>
  </si>
  <si>
    <t xml:space="preserve">Ø 375 mm </t>
  </si>
  <si>
    <t>II</t>
  </si>
  <si>
    <t>Cabang Medan Kota</t>
  </si>
  <si>
    <t>Jl. Surabaya &lt; Jl. Nusantara</t>
  </si>
  <si>
    <t>Ø 200 mm</t>
  </si>
  <si>
    <t>Jl. Halat Gg. Dame</t>
  </si>
  <si>
    <t>Jl. Palangkaraya &lt; Jl. Bogor</t>
  </si>
  <si>
    <t>Jl. A. Yani &lt; Jl. Palang Merah</t>
  </si>
  <si>
    <t>Jl. A. Yani &lt; Jl. Perdana</t>
  </si>
  <si>
    <t>Jl. Palang Merah dekat Jembatan</t>
  </si>
  <si>
    <t>Ø 300 mm</t>
  </si>
  <si>
    <t>Jl. Balai Kota &lt; Jl. Raden Saleh</t>
  </si>
  <si>
    <t>Jl. Asia &lt; Jl. Emas</t>
  </si>
  <si>
    <t>Jl. Sutrisno &lt; Jl. Batu</t>
  </si>
  <si>
    <t>Jl. Laksana &lt; Jl. Amaliun</t>
  </si>
  <si>
    <t>Jl. Laksana &lt; Jl. Sutrisno</t>
  </si>
  <si>
    <t>Jl. B. Katamso &lt; Jl. Avros</t>
  </si>
  <si>
    <t>Jl. B. Katamso &lt; Gg. Al Fajar</t>
  </si>
  <si>
    <t>Jl. Diponegoro &lt; Jl. Sudirman</t>
  </si>
  <si>
    <t>Jl. Sudirman &lt; Jl. Patung A. Yani</t>
  </si>
  <si>
    <t>Jl. Mongonsidi &lt; Jl. Mustang</t>
  </si>
  <si>
    <t>Jl. Mongonsidi Dpn. Gereja</t>
  </si>
  <si>
    <t xml:space="preserve"> Jl. Karang Sari Dkt SMA II</t>
  </si>
  <si>
    <t>Jl. Bahagia &lt; Jl. M. Nawi Harahap</t>
  </si>
  <si>
    <t>Jl. Sudirman jembatan Babura</t>
  </si>
  <si>
    <t>Ø 400 mm</t>
  </si>
  <si>
    <t>Bandara Polonia</t>
  </si>
  <si>
    <t>Ø 375 mm</t>
  </si>
  <si>
    <t>III</t>
  </si>
  <si>
    <t>Sei Agul</t>
  </si>
  <si>
    <t>Jl. Sumarsono Depan Graha Helvetia</t>
  </si>
  <si>
    <t>Jl. Sumarsono &lt; Jl. Kapt. Muslim</t>
  </si>
  <si>
    <t>Jl. Karya Ujung jembatan</t>
  </si>
  <si>
    <t>Jl. Gatot Subroto &lt; Jl. Sei Wampu</t>
  </si>
  <si>
    <t>Jl. Gajah Mada jembatan Sei Bahkapuran</t>
  </si>
  <si>
    <t>Ø 350 mm</t>
  </si>
  <si>
    <t>Ø 250 mm</t>
  </si>
  <si>
    <t>Jl. Putri Hijau depan TVRI Tee Y 600 mm</t>
  </si>
  <si>
    <t>Ø 600 mm</t>
  </si>
  <si>
    <t>IV</t>
  </si>
  <si>
    <t>Sunggal</t>
  </si>
  <si>
    <t>Jl. Pinang Baris depan Dep. Agama</t>
  </si>
  <si>
    <t>Ø 600 mm / Q1</t>
  </si>
  <si>
    <t>Ø 600 mm / Q2</t>
  </si>
  <si>
    <t>Jl. Rajawali &lt; Jl. Sunggal</t>
  </si>
  <si>
    <t>Ø 400 mm / Q3</t>
  </si>
  <si>
    <t>Tasbi II, Jl. Bunga Asoka</t>
  </si>
  <si>
    <t>Ø 600 mm / Q4</t>
  </si>
  <si>
    <t>Jl. Perjuangan</t>
  </si>
  <si>
    <t>Ø 600 mm / Q5</t>
  </si>
  <si>
    <t>V</t>
  </si>
  <si>
    <t>P. Bulan</t>
  </si>
  <si>
    <t>Pancur Batu depan Koramil</t>
  </si>
  <si>
    <t>Ø 175 mm</t>
  </si>
  <si>
    <t>Surgetank (Depan Hotel Kenanga)</t>
  </si>
  <si>
    <t>Jl. Jamin Ginting depan BNI</t>
  </si>
  <si>
    <t>Jl. Zulkarnaen depan rumah P. Mohar</t>
  </si>
  <si>
    <t>Jl. Dr. Mansyur jembatan PPIA</t>
  </si>
  <si>
    <t>Jl. Sei Serayu jembatan</t>
  </si>
  <si>
    <t xml:space="preserve">Jl. Darussalam &lt; Jl. Sei Mencirim </t>
  </si>
  <si>
    <t>Ø 400 mm atas</t>
  </si>
  <si>
    <t>Ø 400 mm bawah</t>
  </si>
  <si>
    <t xml:space="preserve">Jl. Abdullah Lubis &lt; Jl. Sei Wampu </t>
  </si>
  <si>
    <t>Ø 6" / Ø 150 mm</t>
  </si>
  <si>
    <t>Jl. Jamin Ginting (bak Kuala)</t>
  </si>
  <si>
    <t>VI</t>
  </si>
  <si>
    <t>Deli Tua</t>
  </si>
  <si>
    <t>Bak Two Rivers Atas</t>
  </si>
  <si>
    <t>Ø 325 mm</t>
  </si>
  <si>
    <t>Bak Two Rivers Bawah</t>
  </si>
  <si>
    <t>Surge Tank PJKA</t>
  </si>
  <si>
    <t>Ø 1000 mm</t>
  </si>
  <si>
    <t>PT. KD Durian</t>
  </si>
  <si>
    <t>Ø 800 mm</t>
  </si>
  <si>
    <t>VII</t>
  </si>
  <si>
    <t>Tuasan</t>
  </si>
  <si>
    <t>Jl. Pancing &lt; Jl. Perjuangan</t>
  </si>
  <si>
    <t>Jl. Bambu II</t>
  </si>
  <si>
    <t>-</t>
  </si>
  <si>
    <t>Jl. Sidorukun</t>
  </si>
  <si>
    <t>Ø 110 mm</t>
  </si>
  <si>
    <t>Jl. Jemadi</t>
  </si>
  <si>
    <t>Jl. Krakatau depan Wong Solo</t>
  </si>
  <si>
    <t>Jl. Krakatau &lt; Jl. Simp. Pasar III</t>
  </si>
  <si>
    <t>Jl. Perjuangan parit busuk</t>
  </si>
  <si>
    <t>Jl. Letda Sujono (titi sewa)</t>
  </si>
  <si>
    <t xml:space="preserve">Jl. Benteng Hilir </t>
  </si>
  <si>
    <t>Ø 90 mm</t>
  </si>
  <si>
    <t>Jl. Selamat Ketaren</t>
  </si>
  <si>
    <t>Jl. Metrologi</t>
  </si>
  <si>
    <t>Ø 160 mm</t>
  </si>
  <si>
    <t>Jl. Glugur By Pass</t>
  </si>
  <si>
    <t>Jl. Yos Sudarso Dpn PLN</t>
  </si>
  <si>
    <t>Jl. Yos Sudarso Dpn Sate Blora</t>
  </si>
  <si>
    <t>Ø 500 mm</t>
  </si>
  <si>
    <t>VIII</t>
  </si>
  <si>
    <t>H. M. Yamin</t>
  </si>
  <si>
    <t xml:space="preserve">Jl. Gaharu Jembatan </t>
  </si>
  <si>
    <t>Ø 150 mm</t>
  </si>
  <si>
    <t>Jl. Pimpinan &lt; Jl. Ibrahim Umar</t>
  </si>
  <si>
    <t>Jl. Pimpinan &lt; Jl. Pancing</t>
  </si>
  <si>
    <t>Jl. Perjuangan Jembatan</t>
  </si>
  <si>
    <t>Jl. Gurilla &lt; Jl. Ibrahim Umar</t>
  </si>
  <si>
    <t>Jl. Gurilla &lt; Jl. Pancing</t>
  </si>
  <si>
    <t>Jl. Letda Sujono Titi Sewa</t>
  </si>
  <si>
    <t>Jl. Padang &lt; Jl. Letda Sujono</t>
  </si>
  <si>
    <t>Jl. Pertiwi (sblm Tol dari Titi Sewa)</t>
  </si>
  <si>
    <t>Jl. Pertiwi (sdh Tol dari Titi Sewa)</t>
  </si>
  <si>
    <t>Jl. Mandala dekat Rel Kereta Api</t>
  </si>
  <si>
    <t>Jl. P. Banting I (Jl. Rahayu)</t>
  </si>
  <si>
    <t>Jl. Mandala &lt; Jl. Pukat VII (ACP)</t>
  </si>
  <si>
    <t>Jl. Mandala &lt; Jl. Letda Sujono</t>
  </si>
  <si>
    <t>Jl. Aksara &lt; Jl. Pukat II</t>
  </si>
  <si>
    <t>Jl. Wahidin &lt; Jl. Duyung</t>
  </si>
  <si>
    <t>Jl. Purwo</t>
  </si>
  <si>
    <t>Bak Jati</t>
  </si>
  <si>
    <t>Jl. GB. Yosua &lt; Jl. Thamrin</t>
  </si>
  <si>
    <t>Jl. Sei Kera</t>
  </si>
  <si>
    <t>Jl. Letda Sujono (Fire Hidrant)</t>
  </si>
  <si>
    <t>Jl. Letda Sujono &lt; Jl. Aksara</t>
  </si>
  <si>
    <t>Jl. Padang dekat Rel Kereta Api</t>
  </si>
  <si>
    <t>IX</t>
  </si>
  <si>
    <t>Diski</t>
  </si>
  <si>
    <t>Wisma Sunggal</t>
  </si>
  <si>
    <t>Ø 400</t>
  </si>
  <si>
    <t>Kelambir V</t>
  </si>
  <si>
    <t>Ø 200</t>
  </si>
  <si>
    <t>Suka Maju</t>
  </si>
  <si>
    <t>Ø 300</t>
  </si>
  <si>
    <t>Jl. Benteng</t>
  </si>
  <si>
    <t>X</t>
  </si>
  <si>
    <t>Medan Labuhan</t>
  </si>
  <si>
    <t>Booster Martubung (pipa arah ke Belawan)</t>
  </si>
  <si>
    <t>Booster Martubung (pipa arah ke Prmns Martubung)</t>
  </si>
  <si>
    <t>Jl. Medan - Belawan Km 15.5 dpn Kantor</t>
  </si>
  <si>
    <t>Jl. Medan - Belawan Km Sp. Kayu Putih</t>
  </si>
  <si>
    <t>Jl. Jala depan Mesjid</t>
  </si>
  <si>
    <t>Jl. Rawe I &lt; Jl. Rawe VII</t>
  </si>
  <si>
    <t>Jl. R. Buddin Jembatan Putri</t>
  </si>
  <si>
    <t>Jl. R. Buddin Jembatan Pasar V (Jemb. Pertama)</t>
  </si>
  <si>
    <t>Jl. Marelan Raya &lt; Jl. Platina I</t>
  </si>
  <si>
    <t>Jl. Marelan Raya &lt; Jl. Pasar IV Barat</t>
  </si>
  <si>
    <t>Jl. Platina I (Jembatan)</t>
  </si>
  <si>
    <t>Jl. Tembus (Jembatan Aloha)</t>
  </si>
  <si>
    <t>IPA Hamparan Perak</t>
  </si>
  <si>
    <t>XI</t>
  </si>
  <si>
    <t>Medan Denai</t>
  </si>
  <si>
    <t>Jl. Pelikan</t>
  </si>
  <si>
    <t>Jl. Panglima Denai &lt; Datuk Kabu</t>
  </si>
  <si>
    <t>Ø 400 mm (atas)</t>
  </si>
  <si>
    <t>Ø 400 mm (bawah)</t>
  </si>
  <si>
    <t>Jl. M. Nawi Harahap</t>
  </si>
  <si>
    <t>Jl. P. Denai (Service TV)</t>
  </si>
  <si>
    <t>Jl. Swadaya</t>
  </si>
  <si>
    <t>Jl. Mandala By Pass</t>
  </si>
  <si>
    <t>Jl. Mandala By Pass Dpn Gereja</t>
  </si>
  <si>
    <t>Jl. Denai parit sulang saling</t>
  </si>
  <si>
    <t>Jl. Sutrisno</t>
  </si>
  <si>
    <t>Jl. Megawati</t>
  </si>
  <si>
    <t>Jl. Bromo &lt; Gg. Setuju</t>
  </si>
  <si>
    <t>Jl. Tuba2</t>
  </si>
  <si>
    <t>XII</t>
  </si>
  <si>
    <t>Amplas</t>
  </si>
  <si>
    <t>Jl. Medan - T. Morawa, Dpn Siantar Top</t>
  </si>
  <si>
    <t>Jl. Medan - T. Morawa, Jembatan Riviera</t>
  </si>
  <si>
    <t>Jl. S. M Raja Depan Pos PP. Amplas</t>
  </si>
  <si>
    <t>Jl. P. Denai depan Mesjid</t>
  </si>
  <si>
    <t>Jl. S. M Raja Dekat Samsat</t>
  </si>
  <si>
    <t>Jl. SM Raja jembatan sulang saling</t>
  </si>
  <si>
    <t>XIII</t>
  </si>
  <si>
    <t>Belawan Kota</t>
  </si>
  <si>
    <t>Jl. Medan - Belawan Sei Deli</t>
  </si>
  <si>
    <t>Jl. YP. Hijau &lt; Jl. Hamparan Perak</t>
  </si>
  <si>
    <t>Jl. YP. Hijau dekat Kantor Lurah</t>
  </si>
  <si>
    <t>Jl. YP. Hijau &lt; Jl. Medan Belawan</t>
  </si>
  <si>
    <t>Jl. Medan Belawan dekat Kuburan</t>
  </si>
  <si>
    <t xml:space="preserve"> </t>
  </si>
  <si>
    <t>REKAP KONDISI SUPLAY AIR CABANG OPERASI ZONA-1</t>
  </si>
  <si>
    <t>CABANG</t>
  </si>
  <si>
    <t>KODE</t>
  </si>
  <si>
    <t>Jlh Plg</t>
  </si>
  <si>
    <t>PELAYANAN AIR</t>
  </si>
  <si>
    <t>KET</t>
  </si>
  <si>
    <t>MEDAN KOTA</t>
  </si>
  <si>
    <t>24 JAM</t>
  </si>
  <si>
    <t>Non 24 JAM</t>
  </si>
  <si>
    <t>SEI AGUL</t>
  </si>
  <si>
    <t>WILAYAH</t>
  </si>
  <si>
    <t>√</t>
  </si>
  <si>
    <t>MEDAN DENAI</t>
  </si>
  <si>
    <t>MEDAN LABUHAN</t>
  </si>
  <si>
    <t>SIBOLANGIT</t>
  </si>
  <si>
    <t>BERASTAGI</t>
  </si>
  <si>
    <t>SUNGGAL</t>
  </si>
  <si>
    <t>PADANG BULAN</t>
  </si>
  <si>
    <t>DELI TUA</t>
  </si>
  <si>
    <t>TUASAN</t>
  </si>
  <si>
    <t>H. M. YAMIN</t>
  </si>
  <si>
    <t>DISKI</t>
  </si>
  <si>
    <t>MEDAN AMPLAS</t>
  </si>
  <si>
    <t>BELAWAN KOTA</t>
  </si>
  <si>
    <t>CEMARA</t>
  </si>
  <si>
    <t>Persentase Pelayanan</t>
  </si>
  <si>
    <t>HM YAMIN</t>
  </si>
  <si>
    <t>XIV</t>
  </si>
  <si>
    <t>XV</t>
  </si>
  <si>
    <t>Presentase Pelayanan Keseluruhan</t>
  </si>
  <si>
    <t>REKAP DATA TEKANAN SELURUH CABANG ZONA-1 PERWILAYAH</t>
  </si>
  <si>
    <t>KODE WILAYAH</t>
  </si>
  <si>
    <t>OK</t>
  </si>
  <si>
    <t>REKAP JUMLAH PELANGGAN SELURUH CABANG ZONA-1 PERWILAYAH</t>
  </si>
  <si>
    <t>CHECK</t>
  </si>
  <si>
    <t>Keterangan :</t>
  </si>
  <si>
    <t>TOTAL</t>
  </si>
  <si>
    <t xml:space="preserve">       Tekanan 0 - 0,29      Kg/Cm2 </t>
  </si>
  <si>
    <t xml:space="preserve">       Tekanan 0,30 - 0,49 Kg/Cm2</t>
  </si>
  <si>
    <t xml:space="preserve">       Tekanan 0,50 - 0,99 Kg/Cm2</t>
  </si>
  <si>
    <t xml:space="preserve">       Tekanan &gt; 1,0          Kg/Cm2</t>
  </si>
  <si>
    <t>No.</t>
  </si>
  <si>
    <t>Cabang</t>
  </si>
  <si>
    <t>Ø Pipa/Panjang Pipa distribusi</t>
  </si>
  <si>
    <t>Ø Pipa/Panjang Pipa Transmisi</t>
  </si>
  <si>
    <t>Total</t>
  </si>
  <si>
    <t>&lt; 2"</t>
  </si>
  <si>
    <t>2"</t>
  </si>
  <si>
    <t>3"</t>
  </si>
  <si>
    <t>4"</t>
  </si>
  <si>
    <t>5"</t>
  </si>
  <si>
    <t>6"</t>
  </si>
  <si>
    <t>8" (200 mm)</t>
  </si>
  <si>
    <t>10" (250 mm)</t>
  </si>
  <si>
    <t>12" (300 mm)</t>
  </si>
  <si>
    <t>13" (325 mm)</t>
  </si>
  <si>
    <t>14" (350 mm)</t>
  </si>
  <si>
    <t>15" (375mm)</t>
  </si>
  <si>
    <t>16" (400 mm)</t>
  </si>
  <si>
    <t>18" (450mm)</t>
  </si>
  <si>
    <t>20" (500 mm)</t>
  </si>
  <si>
    <t>(600 mm)</t>
  </si>
  <si>
    <t>(800 mm)</t>
  </si>
  <si>
    <t>(1000 mm)</t>
  </si>
  <si>
    <t>(m)</t>
  </si>
  <si>
    <t>Medan Kota</t>
  </si>
  <si>
    <t>Sibolangit</t>
  </si>
  <si>
    <t>Berastagi</t>
  </si>
  <si>
    <t>Padang Bulan</t>
  </si>
  <si>
    <t>HM. Yamin</t>
  </si>
  <si>
    <t>Medan Amplas</t>
  </si>
  <si>
    <t>Cemara</t>
  </si>
  <si>
    <t>Kuala - Menara</t>
  </si>
  <si>
    <t>MMUDP III</t>
  </si>
  <si>
    <t>Total panjang pipa</t>
  </si>
  <si>
    <t>DIAMETER</t>
  </si>
  <si>
    <t>Ket</t>
  </si>
  <si>
    <t>Jl. Setiabudi Dpn Unika</t>
  </si>
  <si>
    <t>Jl. Sunggal Dpn Apotik</t>
  </si>
  <si>
    <t>Jl. Lembaga Permasyarakatan</t>
  </si>
  <si>
    <t>Ø 150</t>
  </si>
  <si>
    <t>Booster Martubung (pipa arah ke Brayan)</t>
  </si>
  <si>
    <t>Jl. Marelan Raya Pasar IX Mandiri</t>
  </si>
  <si>
    <t>Jl. B. Katamso Dkt Gg. Famili</t>
  </si>
  <si>
    <t>Jl. Alfalah Depan Goni Botot</t>
  </si>
  <si>
    <t>WIL 07 JUMLAH PELANGGAN TIDAK ADA</t>
  </si>
  <si>
    <t>lembar hanya sampai wil 16</t>
  </si>
  <si>
    <t xml:space="preserve">                </t>
  </si>
  <si>
    <t xml:space="preserve">DATA  PIPA DISTRIBUSI AKTIF DAN TRANSMISI CABANG  ZONA I </t>
  </si>
  <si>
    <t>WIL 11 TAK ADA</t>
  </si>
  <si>
    <t>WIL 15 TAK ADA</t>
  </si>
  <si>
    <t>ok</t>
  </si>
  <si>
    <t>DATA TEKANAN SELURUH CABANG CABANG ZONA-1 PERWILAYAH</t>
  </si>
  <si>
    <t>BOOSTER</t>
  </si>
  <si>
    <t>JUMLAH</t>
  </si>
  <si>
    <t>BP. TUASAN</t>
  </si>
  <si>
    <t>JAM</t>
  </si>
  <si>
    <t>BOOSTER PUMP MENARA</t>
  </si>
  <si>
    <t>BP.  LAU BKLWANG</t>
  </si>
  <si>
    <t>BP.  GARU I</t>
  </si>
  <si>
    <t>BP.  GAVERTA</t>
  </si>
  <si>
    <t>BP.  MARTUBUNG</t>
  </si>
  <si>
    <t>BP. SIMALINGKAR</t>
  </si>
  <si>
    <t>BP. PASAR IV</t>
  </si>
  <si>
    <t>BP. M DENAI</t>
  </si>
  <si>
    <t>BP. SEJARAH</t>
  </si>
  <si>
    <t>BP. SEI. AGUL</t>
  </si>
  <si>
    <t>BP. RMH SUSUN</t>
  </si>
  <si>
    <t>BP. KIM MABAR</t>
  </si>
  <si>
    <t>BP. CEMARA</t>
  </si>
  <si>
    <t>BP. MARELAN</t>
  </si>
  <si>
    <t>Jumlah operasi</t>
  </si>
  <si>
    <t>JMLH. POMPA OPERASI</t>
  </si>
  <si>
    <t>seluruh booster</t>
  </si>
  <si>
    <t>MENARA</t>
  </si>
  <si>
    <t>POMPA. OPERASI</t>
  </si>
  <si>
    <t>pump</t>
  </si>
  <si>
    <t>05,00</t>
  </si>
  <si>
    <t>Pengisian</t>
  </si>
  <si>
    <t>06,00</t>
  </si>
  <si>
    <t>07,00</t>
  </si>
  <si>
    <t>08,00</t>
  </si>
  <si>
    <t>09,00</t>
  </si>
  <si>
    <t>10.00</t>
  </si>
  <si>
    <t>11.00</t>
  </si>
  <si>
    <t>12.00</t>
  </si>
  <si>
    <t>13.00</t>
  </si>
  <si>
    <t>14.00</t>
  </si>
  <si>
    <t>15.00</t>
  </si>
  <si>
    <t>16.00</t>
  </si>
  <si>
    <t>17.00</t>
  </si>
  <si>
    <t>18.00</t>
  </si>
  <si>
    <t>19.00</t>
  </si>
  <si>
    <t>20.00</t>
  </si>
  <si>
    <t>21.00</t>
  </si>
  <si>
    <t>Pengisian/ByPass</t>
  </si>
  <si>
    <t>22.00</t>
  </si>
  <si>
    <t>23.00</t>
  </si>
  <si>
    <t>24.00</t>
  </si>
  <si>
    <t>01,00</t>
  </si>
  <si>
    <t>02,00</t>
  </si>
  <si>
    <t>03,00</t>
  </si>
  <si>
    <t>04,00</t>
  </si>
  <si>
    <t>JAM OPS</t>
  </si>
  <si>
    <t>Jumlah jam</t>
  </si>
  <si>
    <t xml:space="preserve">operasi pompa </t>
  </si>
  <si>
    <t>dalam 1 bulan</t>
  </si>
  <si>
    <t>Evaluasi</t>
  </si>
  <si>
    <t>1. Booster Pump yang sudah beroperasi 24 jam yaitu :  BP. Garu I, BP. Tuasan  dan BP. Marelan</t>
  </si>
  <si>
    <t>3.</t>
  </si>
  <si>
    <t>Booster Pump  belum dapat  beroperasi 24 jam disebabkan jumlah</t>
  </si>
  <si>
    <t>2. Booster Pump yang belum 24 jam operasi yaitu :</t>
  </si>
  <si>
    <t>debit air yang diterima belum seimbang dengan jumlah debit yang di</t>
  </si>
  <si>
    <t xml:space="preserve"> -</t>
  </si>
  <si>
    <t>Booster Pump Menara</t>
  </si>
  <si>
    <t>18 jam</t>
  </si>
  <si>
    <t>operasi           -</t>
  </si>
  <si>
    <t>Booster Pump  Medan Denai</t>
  </si>
  <si>
    <t>17 jam</t>
  </si>
  <si>
    <t>operasi</t>
  </si>
  <si>
    <t>distribusikan oleh booster pump</t>
  </si>
  <si>
    <t>Booster Pump Laubeng Klewang</t>
  </si>
  <si>
    <t>20 jam</t>
  </si>
  <si>
    <t xml:space="preserve">operasi          </t>
  </si>
  <si>
    <t>Booster Pump Rmh Susun</t>
  </si>
  <si>
    <t>Booster Pump Psr IV P.Bulan</t>
  </si>
  <si>
    <t>Booster Pump Martubung</t>
  </si>
  <si>
    <t xml:space="preserve">Catatan </t>
  </si>
  <si>
    <t>Booster Pump Simalingkar</t>
  </si>
  <si>
    <t>12 jam</t>
  </si>
  <si>
    <t>Booster Pump Kim Mabar</t>
  </si>
  <si>
    <t>1, Kondisi ini pada keadaan normal ( tidak ada gangguan )</t>
  </si>
  <si>
    <t>Booster Pump Sei Agul</t>
  </si>
  <si>
    <t>Booster Pump Sejarah</t>
  </si>
  <si>
    <t>19 jam</t>
  </si>
  <si>
    <t>2. Kondisi ini dapat berubah bila ada gangguan ( PLN dan Td air baku tinggi )</t>
  </si>
  <si>
    <t>Booster Pump Gaverta</t>
  </si>
  <si>
    <t>Booster Pump Cemara Asri</t>
  </si>
  <si>
    <t xml:space="preserve">operasi           </t>
  </si>
  <si>
    <t>DATA HARIAN OPERASI POMPA BOOSTER PUMP</t>
  </si>
  <si>
    <t>`</t>
  </si>
  <si>
    <t>1240+10</t>
  </si>
  <si>
    <t>01</t>
  </si>
  <si>
    <t>04</t>
  </si>
  <si>
    <t>05</t>
  </si>
  <si>
    <t>06</t>
  </si>
  <si>
    <t>07</t>
  </si>
  <si>
    <t>08</t>
  </si>
  <si>
    <t>09</t>
  </si>
  <si>
    <t>10</t>
  </si>
  <si>
    <t>11</t>
  </si>
  <si>
    <t>13</t>
  </si>
  <si>
    <t>15</t>
  </si>
  <si>
    <t>16</t>
  </si>
  <si>
    <t>70</t>
  </si>
  <si>
    <t>71</t>
  </si>
  <si>
    <t>14</t>
  </si>
  <si>
    <t>17</t>
  </si>
  <si>
    <t>20</t>
  </si>
  <si>
    <t>21</t>
  </si>
  <si>
    <t>24</t>
  </si>
  <si>
    <t>25</t>
  </si>
  <si>
    <t>23</t>
  </si>
  <si>
    <t>26</t>
  </si>
  <si>
    <t>27</t>
  </si>
  <si>
    <t>28</t>
  </si>
  <si>
    <t>29</t>
  </si>
  <si>
    <t>s</t>
  </si>
  <si>
    <t>0..88</t>
  </si>
  <si>
    <t>BULAN DESEMBER 2019</t>
  </si>
  <si>
    <t xml:space="preserve"> BULAN DESEMBER 2019</t>
  </si>
  <si>
    <t>APRIL 2020</t>
  </si>
</sst>
</file>

<file path=xl/styles.xml><?xml version="1.0" encoding="utf-8"?>
<styleSheet xmlns="http://schemas.openxmlformats.org/spreadsheetml/2006/main">
  <numFmts count="6">
    <numFmt numFmtId="41" formatCode="_(* #,##0_);_(* \(#,##0\);_(* &quot;-&quot;_);_(@_)"/>
    <numFmt numFmtId="43" formatCode="_(* #,##0.00_);_(* \(#,##0.00\);_(* &quot;-&quot;??_);_(@_)"/>
    <numFmt numFmtId="172" formatCode="_(* #,##0_);_(* \(#,##0\);_(* &quot;-&quot;??_);_(@_)"/>
    <numFmt numFmtId="173" formatCode="_(* #,##0.0_);_(* \(#,##0.0\);_(* &quot;-&quot;??_);_(@_)"/>
    <numFmt numFmtId="176" formatCode="0_);\(0\)"/>
    <numFmt numFmtId="177" formatCode="_(* #,##0.00_);_(* \(#,##0.00\);_(* &quot;-&quot;_);_(@_)"/>
  </numFmts>
  <fonts count="52">
    <font>
      <sz val="10"/>
      <name val="Arial"/>
    </font>
    <font>
      <sz val="11"/>
      <color indexed="60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b/>
      <sz val="18"/>
      <color indexed="56"/>
      <name val="Cambria"/>
      <family val="1"/>
    </font>
    <font>
      <sz val="11"/>
      <color indexed="10"/>
      <name val="Calibri"/>
      <family val="2"/>
    </font>
    <font>
      <sz val="11"/>
      <color indexed="52"/>
      <name val="Calibri"/>
      <family val="2"/>
    </font>
    <font>
      <sz val="11"/>
      <color indexed="20"/>
      <name val="Calibri"/>
      <family val="2"/>
    </font>
    <font>
      <sz val="11"/>
      <color indexed="9"/>
      <name val="Calibri"/>
      <family val="2"/>
    </font>
    <font>
      <i/>
      <sz val="11"/>
      <color indexed="23"/>
      <name val="Calibri"/>
      <family val="2"/>
    </font>
    <font>
      <b/>
      <sz val="11"/>
      <color indexed="52"/>
      <name val="Calibri"/>
      <family val="2"/>
    </font>
    <font>
      <b/>
      <sz val="11"/>
      <color indexed="6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1"/>
      <color indexed="9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u/>
      <sz val="10"/>
      <name val="Arial"/>
      <family val="2"/>
    </font>
    <font>
      <b/>
      <u/>
      <sz val="10"/>
      <name val="Arial"/>
      <family val="2"/>
    </font>
    <font>
      <b/>
      <sz val="16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0"/>
      <color indexed="60"/>
      <name val="Arial"/>
      <family val="2"/>
    </font>
    <font>
      <sz val="8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sz val="9"/>
      <name val="Arial"/>
      <family val="2"/>
    </font>
    <font>
      <sz val="16"/>
      <name val="Arial"/>
      <family val="2"/>
    </font>
    <font>
      <b/>
      <sz val="26"/>
      <name val="Batang"/>
      <family val="1"/>
    </font>
    <font>
      <sz val="26"/>
      <name val="Arial"/>
      <family val="2"/>
    </font>
    <font>
      <b/>
      <sz val="26"/>
      <name val="Arial"/>
      <family val="2"/>
    </font>
    <font>
      <sz val="11"/>
      <name val="Calibri"/>
      <family val="2"/>
    </font>
    <font>
      <sz val="12"/>
      <name val="Calibri"/>
      <family val="2"/>
    </font>
    <font>
      <b/>
      <u/>
      <sz val="16"/>
      <name val="Arial"/>
      <family val="2"/>
    </font>
    <font>
      <u/>
      <sz val="16"/>
      <name val="Arial"/>
      <family val="2"/>
    </font>
    <font>
      <sz val="10"/>
      <name val="Arial"/>
      <family val="2"/>
    </font>
    <font>
      <u/>
      <sz val="1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b/>
      <sz val="10"/>
      <color theme="1"/>
      <name val="Arial"/>
      <family val="2"/>
    </font>
  </fonts>
  <fills count="31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8"/>
        <bgColor indexed="64"/>
      </patternFill>
    </fill>
    <fill>
      <patternFill patternType="lightGray">
        <fgColor indexed="46"/>
      </patternFill>
    </fill>
    <fill>
      <patternFill patternType="solid">
        <fgColor indexed="9"/>
        <bgColor indexed="64"/>
      </patternFill>
    </fill>
    <fill>
      <patternFill patternType="lightGray">
        <fgColor indexed="46"/>
        <bgColor indexed="9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1"/>
        <bgColor indexed="64"/>
      </patternFill>
    </fill>
  </fills>
  <borders count="11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hair">
        <color indexed="64"/>
      </top>
      <bottom style="hair">
        <color indexed="64"/>
      </bottom>
      <diagonal/>
    </border>
    <border>
      <left/>
      <right style="thin">
        <color indexed="8"/>
      </right>
      <top style="hair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64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7" fillId="3" borderId="0" applyNumberFormat="0" applyBorder="0" applyAlignment="0" applyProtection="0"/>
    <xf numFmtId="0" fontId="10" fillId="20" borderId="1" applyNumberFormat="0" applyAlignment="0" applyProtection="0"/>
    <xf numFmtId="0" fontId="14" fillId="21" borderId="2" applyNumberFormat="0" applyAlignment="0" applyProtection="0"/>
    <xf numFmtId="43" fontId="28" fillId="0" borderId="0" applyFont="0" applyFill="0" applyBorder="0" applyAlignment="0" applyProtection="0"/>
    <xf numFmtId="41" fontId="28" fillId="0" borderId="0" applyFont="0" applyFill="0" applyBorder="0" applyAlignment="0" applyProtection="0"/>
    <xf numFmtId="41" fontId="28" fillId="0" borderId="0" applyFont="0" applyFill="0" applyBorder="0" applyAlignment="0" applyProtection="0"/>
    <xf numFmtId="41" fontId="45" fillId="0" borderId="0" applyFont="0" applyFill="0" applyBorder="0" applyAlignment="0" applyProtection="0"/>
    <xf numFmtId="41" fontId="48" fillId="0" borderId="0" applyFont="0" applyFill="0" applyBorder="0" applyAlignment="0" applyProtection="0"/>
    <xf numFmtId="41" fontId="48" fillId="0" borderId="0" applyFont="0" applyFill="0" applyBorder="0" applyAlignment="0" applyProtection="0"/>
    <xf numFmtId="41" fontId="47" fillId="0" borderId="0" applyFont="0" applyFill="0" applyBorder="0" applyAlignment="0" applyProtection="0"/>
    <xf numFmtId="41" fontId="45" fillId="0" borderId="0" applyFont="0" applyFill="0" applyBorder="0" applyAlignment="0" applyProtection="0"/>
    <xf numFmtId="41" fontId="28" fillId="0" borderId="0" applyFont="0" applyFill="0" applyBorder="0" applyAlignment="0" applyProtection="0">
      <alignment vertical="center"/>
    </xf>
    <xf numFmtId="43" fontId="2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/>
    <xf numFmtId="0" fontId="12" fillId="4" borderId="0" applyNumberFormat="0" applyBorder="0" applyAlignment="0" applyProtection="0"/>
    <xf numFmtId="0" fontId="13" fillId="0" borderId="3" applyNumberFormat="0" applyFill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6" fillId="0" borderId="0" applyNumberFormat="0" applyFill="0" applyBorder="0" applyAlignment="0" applyProtection="0"/>
    <xf numFmtId="0" fontId="17" fillId="7" borderId="1" applyNumberFormat="0" applyAlignment="0" applyProtection="0"/>
    <xf numFmtId="0" fontId="6" fillId="0" borderId="6" applyNumberFormat="0" applyFill="0" applyAlignment="0" applyProtection="0"/>
    <xf numFmtId="0" fontId="1" fillId="22" borderId="0" applyNumberFormat="0" applyBorder="0" applyAlignment="0" applyProtection="0"/>
    <xf numFmtId="0" fontId="28" fillId="0" borderId="0"/>
    <xf numFmtId="0" fontId="48" fillId="0" borderId="0"/>
    <xf numFmtId="0" fontId="47" fillId="0" borderId="0"/>
    <xf numFmtId="0" fontId="47" fillId="0" borderId="0"/>
    <xf numFmtId="0" fontId="48" fillId="0" borderId="0"/>
    <xf numFmtId="0" fontId="47" fillId="0" borderId="0"/>
    <xf numFmtId="0" fontId="47" fillId="0" borderId="0"/>
    <xf numFmtId="0" fontId="47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8" fillId="23" borderId="7" applyNumberFormat="0" applyFont="0" applyAlignment="0" applyProtection="0"/>
    <xf numFmtId="0" fontId="11" fillId="20" borderId="8" applyNumberFormat="0" applyAlignment="0" applyProtection="0"/>
    <xf numFmtId="0" fontId="4" fillId="0" borderId="0" applyNumberFormat="0" applyFill="0" applyBorder="0" applyAlignment="0" applyProtection="0"/>
    <xf numFmtId="0" fontId="2" fillId="0" borderId="9" applyNumberFormat="0" applyFill="0" applyAlignment="0" applyProtection="0"/>
    <xf numFmtId="0" fontId="5" fillId="0" borderId="0" applyNumberFormat="0" applyFill="0" applyBorder="0" applyAlignment="0" applyProtection="0"/>
  </cellStyleXfs>
  <cellXfs count="462">
    <xf numFmtId="0" fontId="0" fillId="0" borderId="0" xfId="0"/>
    <xf numFmtId="0" fontId="18" fillId="0" borderId="0" xfId="0" applyFont="1" applyAlignment="1">
      <alignment horizontal="center"/>
    </xf>
    <xf numFmtId="0" fontId="18" fillId="0" borderId="0" xfId="0" applyFont="1"/>
    <xf numFmtId="0" fontId="18" fillId="0" borderId="10" xfId="0" applyFont="1" applyBorder="1" applyAlignment="1">
      <alignment horizontal="center"/>
    </xf>
    <xf numFmtId="0" fontId="18" fillId="0" borderId="11" xfId="0" applyFont="1" applyBorder="1" applyAlignment="1">
      <alignment horizontal="center"/>
    </xf>
    <xf numFmtId="0" fontId="18" fillId="0" borderId="10" xfId="0" applyFont="1" applyBorder="1" applyAlignment="1">
      <alignment vertical="center"/>
    </xf>
    <xf numFmtId="2" fontId="18" fillId="0" borderId="10" xfId="0" applyNumberFormat="1" applyFont="1" applyBorder="1" applyAlignment="1">
      <alignment horizontal="center"/>
    </xf>
    <xf numFmtId="0" fontId="18" fillId="0" borderId="12" xfId="0" applyFont="1" applyBorder="1" applyAlignment="1">
      <alignment horizontal="center"/>
    </xf>
    <xf numFmtId="0" fontId="19" fillId="0" borderId="12" xfId="0" applyFont="1" applyBorder="1" applyAlignment="1">
      <alignment horizontal="center"/>
    </xf>
    <xf numFmtId="0" fontId="19" fillId="0" borderId="10" xfId="0" applyFont="1" applyBorder="1" applyAlignment="1">
      <alignment horizontal="left"/>
    </xf>
    <xf numFmtId="0" fontId="18" fillId="0" borderId="0" xfId="0" applyFont="1" applyBorder="1" applyAlignment="1">
      <alignment horizontal="center" vertical="center"/>
    </xf>
    <xf numFmtId="0" fontId="18" fillId="0" borderId="0" xfId="0" applyFont="1" applyBorder="1" applyAlignment="1">
      <alignment vertical="center"/>
    </xf>
    <xf numFmtId="0" fontId="18" fillId="0" borderId="0" xfId="0" applyFont="1" applyBorder="1" applyAlignment="1">
      <alignment horizontal="center"/>
    </xf>
    <xf numFmtId="2" fontId="18" fillId="0" borderId="0" xfId="0" applyNumberFormat="1" applyFont="1" applyBorder="1" applyAlignment="1">
      <alignment horizontal="center"/>
    </xf>
    <xf numFmtId="0" fontId="19" fillId="0" borderId="12" xfId="0" applyFont="1" applyBorder="1" applyAlignment="1"/>
    <xf numFmtId="0" fontId="18" fillId="0" borderId="12" xfId="0" applyFont="1" applyBorder="1" applyAlignment="1">
      <alignment vertical="center"/>
    </xf>
    <xf numFmtId="0" fontId="18" fillId="0" borderId="10" xfId="0" applyFont="1" applyBorder="1" applyAlignment="1">
      <alignment horizontal="left"/>
    </xf>
    <xf numFmtId="0" fontId="18" fillId="0" borderId="13" xfId="0" applyFont="1" applyBorder="1" applyAlignment="1">
      <alignment horizontal="center"/>
    </xf>
    <xf numFmtId="0" fontId="18" fillId="0" borderId="13" xfId="0" applyFont="1" applyBorder="1" applyAlignment="1">
      <alignment horizontal="left"/>
    </xf>
    <xf numFmtId="0" fontId="19" fillId="0" borderId="13" xfId="0" applyFont="1" applyBorder="1" applyAlignment="1">
      <alignment horizontal="left"/>
    </xf>
    <xf numFmtId="0" fontId="0" fillId="0" borderId="0" xfId="0" applyFont="1"/>
    <xf numFmtId="0" fontId="0" fillId="0" borderId="0" xfId="0" applyFont="1" applyBorder="1"/>
    <xf numFmtId="0" fontId="22" fillId="0" borderId="0" xfId="0" applyFont="1"/>
    <xf numFmtId="0" fontId="22" fillId="0" borderId="0" xfId="0" applyFont="1" applyAlignment="1"/>
    <xf numFmtId="41" fontId="22" fillId="0" borderId="0" xfId="29" applyFont="1"/>
    <xf numFmtId="41" fontId="22" fillId="0" borderId="0" xfId="0" applyNumberFormat="1" applyFont="1"/>
    <xf numFmtId="0" fontId="22" fillId="0" borderId="14" xfId="0" applyFont="1" applyBorder="1" applyAlignment="1">
      <alignment horizontal="center"/>
    </xf>
    <xf numFmtId="0" fontId="22" fillId="0" borderId="15" xfId="0" applyFont="1" applyBorder="1" applyAlignment="1">
      <alignment horizontal="center"/>
    </xf>
    <xf numFmtId="3" fontId="0" fillId="0" borderId="16" xfId="0" applyNumberFormat="1" applyFont="1" applyBorder="1" applyAlignment="1">
      <alignment horizontal="right"/>
    </xf>
    <xf numFmtId="0" fontId="0" fillId="0" borderId="17" xfId="0" applyFont="1" applyBorder="1"/>
    <xf numFmtId="0" fontId="0" fillId="0" borderId="16" xfId="0" applyFont="1" applyBorder="1" applyAlignment="1">
      <alignment horizontal="center"/>
    </xf>
    <xf numFmtId="0" fontId="0" fillId="0" borderId="18" xfId="0" applyFont="1" applyBorder="1" applyAlignment="1">
      <alignment horizontal="center"/>
    </xf>
    <xf numFmtId="41" fontId="22" fillId="0" borderId="0" xfId="29" applyFont="1" applyAlignment="1"/>
    <xf numFmtId="0" fontId="0" fillId="0" borderId="15" xfId="0" applyFont="1" applyBorder="1"/>
    <xf numFmtId="0" fontId="0" fillId="0" borderId="16" xfId="0" applyFont="1" applyBorder="1"/>
    <xf numFmtId="0" fontId="0" fillId="0" borderId="19" xfId="0" applyFont="1" applyBorder="1" applyAlignment="1">
      <alignment horizontal="center"/>
    </xf>
    <xf numFmtId="3" fontId="0" fillId="0" borderId="19" xfId="0" applyNumberFormat="1" applyFont="1" applyBorder="1" applyAlignment="1">
      <alignment horizontal="right"/>
    </xf>
    <xf numFmtId="0" fontId="0" fillId="0" borderId="17" xfId="0" applyFont="1" applyBorder="1" applyAlignment="1">
      <alignment horizontal="center"/>
    </xf>
    <xf numFmtId="0" fontId="0" fillId="0" borderId="0" xfId="0" applyAlignment="1">
      <alignment horizontal="center"/>
    </xf>
    <xf numFmtId="3" fontId="22" fillId="0" borderId="15" xfId="0" applyNumberFormat="1" applyFont="1" applyBorder="1" applyAlignment="1">
      <alignment horizontal="center"/>
    </xf>
    <xf numFmtId="0" fontId="0" fillId="0" borderId="20" xfId="0" applyFont="1" applyBorder="1"/>
    <xf numFmtId="0" fontId="0" fillId="0" borderId="21" xfId="0" applyFont="1" applyBorder="1" applyAlignment="1">
      <alignment horizontal="center"/>
    </xf>
    <xf numFmtId="0" fontId="0" fillId="0" borderId="22" xfId="0" applyFont="1" applyBorder="1" applyAlignment="1">
      <alignment horizontal="center"/>
    </xf>
    <xf numFmtId="3" fontId="0" fillId="0" borderId="22" xfId="0" applyNumberFormat="1" applyFont="1" applyBorder="1" applyAlignment="1">
      <alignment horizontal="right"/>
    </xf>
    <xf numFmtId="4" fontId="0" fillId="0" borderId="10" xfId="0" applyNumberFormat="1" applyFont="1" applyBorder="1" applyAlignment="1">
      <alignment horizontal="center"/>
    </xf>
    <xf numFmtId="4" fontId="0" fillId="0" borderId="23" xfId="0" applyNumberFormat="1" applyFont="1" applyBorder="1" applyAlignment="1">
      <alignment horizontal="center"/>
    </xf>
    <xf numFmtId="4" fontId="0" fillId="0" borderId="11" xfId="0" applyNumberFormat="1" applyFont="1" applyBorder="1" applyAlignment="1">
      <alignment horizontal="center"/>
    </xf>
    <xf numFmtId="41" fontId="0" fillId="0" borderId="0" xfId="0" applyNumberFormat="1" applyFont="1"/>
    <xf numFmtId="0" fontId="23" fillId="0" borderId="0" xfId="0" applyFont="1" applyAlignment="1">
      <alignment horizontal="center"/>
    </xf>
    <xf numFmtId="0" fontId="23" fillId="0" borderId="0" xfId="0" applyFont="1"/>
    <xf numFmtId="0" fontId="22" fillId="0" borderId="24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24" xfId="0" applyFont="1" applyBorder="1" applyAlignment="1">
      <alignment horizontal="center"/>
    </xf>
    <xf numFmtId="3" fontId="22" fillId="0" borderId="24" xfId="0" applyNumberFormat="1" applyFont="1" applyBorder="1" applyAlignment="1">
      <alignment horizontal="center"/>
    </xf>
    <xf numFmtId="0" fontId="0" fillId="0" borderId="25" xfId="0" applyFont="1" applyBorder="1" applyAlignment="1">
      <alignment horizontal="center"/>
    </xf>
    <xf numFmtId="3" fontId="0" fillId="0" borderId="25" xfId="0" applyNumberFormat="1" applyFont="1" applyBorder="1" applyAlignment="1">
      <alignment horizontal="right"/>
    </xf>
    <xf numFmtId="4" fontId="0" fillId="0" borderId="26" xfId="0" applyNumberFormat="1" applyFont="1" applyBorder="1" applyAlignment="1">
      <alignment horizontal="center"/>
    </xf>
    <xf numFmtId="4" fontId="0" fillId="0" borderId="13" xfId="0" applyNumberFormat="1" applyFont="1" applyBorder="1" applyAlignment="1">
      <alignment horizontal="center"/>
    </xf>
    <xf numFmtId="4" fontId="0" fillId="0" borderId="27" xfId="0" applyNumberFormat="1" applyFont="1" applyBorder="1" applyAlignment="1">
      <alignment horizontal="center"/>
    </xf>
    <xf numFmtId="0" fontId="0" fillId="0" borderId="28" xfId="0" applyFont="1" applyBorder="1" applyAlignment="1">
      <alignment horizontal="center"/>
    </xf>
    <xf numFmtId="0" fontId="0" fillId="0" borderId="29" xfId="0" applyFont="1" applyBorder="1" applyAlignment="1">
      <alignment horizontal="center"/>
    </xf>
    <xf numFmtId="0" fontId="0" fillId="0" borderId="30" xfId="0" applyFont="1" applyBorder="1" applyAlignment="1">
      <alignment horizontal="center"/>
    </xf>
    <xf numFmtId="0" fontId="0" fillId="0" borderId="31" xfId="0" applyFont="1" applyBorder="1" applyAlignment="1">
      <alignment horizontal="center"/>
    </xf>
    <xf numFmtId="3" fontId="0" fillId="0" borderId="31" xfId="0" applyNumberFormat="1" applyFont="1" applyBorder="1" applyAlignment="1">
      <alignment horizontal="right"/>
    </xf>
    <xf numFmtId="4" fontId="0" fillId="0" borderId="32" xfId="0" applyNumberFormat="1" applyFont="1" applyBorder="1" applyAlignment="1">
      <alignment horizontal="center"/>
    </xf>
    <xf numFmtId="4" fontId="0" fillId="0" borderId="33" xfId="0" applyNumberFormat="1" applyFont="1" applyBorder="1" applyAlignment="1">
      <alignment horizontal="center"/>
    </xf>
    <xf numFmtId="4" fontId="0" fillId="0" borderId="34" xfId="0" applyNumberFormat="1" applyFont="1" applyBorder="1" applyAlignment="1">
      <alignment horizontal="center"/>
    </xf>
    <xf numFmtId="0" fontId="22" fillId="0" borderId="0" xfId="0" applyFont="1" applyBorder="1" applyAlignment="1">
      <alignment horizontal="center"/>
    </xf>
    <xf numFmtId="0" fontId="22" fillId="0" borderId="0" xfId="0" applyFont="1" applyBorder="1" applyAlignment="1"/>
    <xf numFmtId="3" fontId="0" fillId="0" borderId="0" xfId="0" applyNumberFormat="1" applyFont="1" applyBorder="1" applyAlignment="1">
      <alignment horizontal="right"/>
    </xf>
    <xf numFmtId="4" fontId="0" fillId="0" borderId="0" xfId="0" applyNumberFormat="1" applyFont="1" applyBorder="1" applyAlignment="1">
      <alignment horizontal="center"/>
    </xf>
    <xf numFmtId="0" fontId="0" fillId="0" borderId="35" xfId="0" applyFont="1" applyBorder="1" applyAlignment="1">
      <alignment horizontal="center"/>
    </xf>
    <xf numFmtId="0" fontId="0" fillId="0" borderId="36" xfId="0" applyFont="1" applyBorder="1" applyAlignment="1">
      <alignment horizontal="center"/>
    </xf>
    <xf numFmtId="0" fontId="0" fillId="0" borderId="37" xfId="0" applyFont="1" applyBorder="1" applyAlignment="1">
      <alignment horizontal="center"/>
    </xf>
    <xf numFmtId="0" fontId="0" fillId="0" borderId="38" xfId="0" applyFont="1" applyBorder="1" applyAlignment="1">
      <alignment horizontal="center"/>
    </xf>
    <xf numFmtId="3" fontId="0" fillId="0" borderId="38" xfId="0" applyNumberFormat="1" applyFont="1" applyBorder="1" applyAlignment="1">
      <alignment horizontal="right"/>
    </xf>
    <xf numFmtId="4" fontId="0" fillId="0" borderId="22" xfId="0" applyNumberFormat="1" applyFont="1" applyBorder="1" applyAlignment="1">
      <alignment horizontal="center"/>
    </xf>
    <xf numFmtId="3" fontId="0" fillId="0" borderId="17" xfId="0" applyNumberFormat="1" applyFont="1" applyBorder="1" applyAlignment="1">
      <alignment horizontal="right"/>
    </xf>
    <xf numFmtId="0" fontId="0" fillId="0" borderId="16" xfId="0" applyFont="1" applyFill="1" applyBorder="1"/>
    <xf numFmtId="0" fontId="0" fillId="0" borderId="29" xfId="0" applyFont="1" applyBorder="1"/>
    <xf numFmtId="0" fontId="0" fillId="0" borderId="20" xfId="0" applyFont="1" applyFill="1" applyBorder="1"/>
    <xf numFmtId="0" fontId="0" fillId="0" borderId="20" xfId="0" applyFont="1" applyBorder="1" applyAlignment="1">
      <alignment horizontal="center"/>
    </xf>
    <xf numFmtId="3" fontId="0" fillId="0" borderId="10" xfId="0" applyNumberFormat="1" applyFont="1" applyBorder="1" applyAlignment="1">
      <alignment horizontal="right"/>
    </xf>
    <xf numFmtId="0" fontId="0" fillId="0" borderId="39" xfId="0" applyFont="1" applyBorder="1" applyAlignment="1">
      <alignment horizontal="center"/>
    </xf>
    <xf numFmtId="0" fontId="22" fillId="0" borderId="40" xfId="0" applyFont="1" applyBorder="1" applyAlignment="1">
      <alignment horizontal="center"/>
    </xf>
    <xf numFmtId="0" fontId="22" fillId="0" borderId="40" xfId="0" applyFont="1" applyBorder="1" applyAlignment="1"/>
    <xf numFmtId="0" fontId="0" fillId="0" borderId="40" xfId="0" applyFont="1" applyBorder="1" applyAlignment="1">
      <alignment horizontal="center"/>
    </xf>
    <xf numFmtId="3" fontId="0" fillId="0" borderId="40" xfId="0" applyNumberFormat="1" applyFont="1" applyBorder="1" applyAlignment="1">
      <alignment horizontal="right"/>
    </xf>
    <xf numFmtId="4" fontId="0" fillId="0" borderId="40" xfId="0" applyNumberFormat="1" applyFont="1" applyBorder="1" applyAlignment="1">
      <alignment horizontal="center"/>
    </xf>
    <xf numFmtId="0" fontId="0" fillId="0" borderId="41" xfId="0" applyFont="1" applyBorder="1" applyAlignment="1">
      <alignment horizontal="center"/>
    </xf>
    <xf numFmtId="0" fontId="0" fillId="0" borderId="42" xfId="0" applyFont="1" applyBorder="1"/>
    <xf numFmtId="0" fontId="0" fillId="0" borderId="43" xfId="0" applyFont="1" applyBorder="1" applyAlignment="1">
      <alignment horizontal="center"/>
    </xf>
    <xf numFmtId="3" fontId="0" fillId="0" borderId="43" xfId="0" applyNumberFormat="1" applyFont="1" applyBorder="1" applyAlignment="1">
      <alignment horizontal="right"/>
    </xf>
    <xf numFmtId="0" fontId="0" fillId="0" borderId="44" xfId="0" applyFont="1" applyBorder="1" applyAlignment="1">
      <alignment horizontal="center"/>
    </xf>
    <xf numFmtId="0" fontId="0" fillId="0" borderId="45" xfId="0" applyFont="1" applyBorder="1" applyAlignment="1">
      <alignment horizontal="center"/>
    </xf>
    <xf numFmtId="0" fontId="0" fillId="0" borderId="46" xfId="0" applyFont="1" applyBorder="1" applyAlignment="1">
      <alignment horizontal="center"/>
    </xf>
    <xf numFmtId="0" fontId="0" fillId="0" borderId="47" xfId="0" applyFont="1" applyBorder="1" applyAlignment="1">
      <alignment horizontal="center"/>
    </xf>
    <xf numFmtId="3" fontId="0" fillId="0" borderId="47" xfId="0" applyNumberFormat="1" applyFont="1" applyBorder="1" applyAlignment="1">
      <alignment horizontal="right"/>
    </xf>
    <xf numFmtId="4" fontId="0" fillId="0" borderId="48" xfId="0" applyNumberFormat="1" applyFont="1" applyBorder="1" applyAlignment="1">
      <alignment horizontal="center"/>
    </xf>
    <xf numFmtId="4" fontId="0" fillId="0" borderId="49" xfId="0" applyNumberFormat="1" applyFont="1" applyBorder="1" applyAlignment="1">
      <alignment horizontal="center"/>
    </xf>
    <xf numFmtId="4" fontId="0" fillId="0" borderId="50" xfId="0" applyNumberFormat="1" applyFont="1" applyBorder="1" applyAlignment="1">
      <alignment horizontal="center"/>
    </xf>
    <xf numFmtId="172" fontId="22" fillId="0" borderId="24" xfId="28" applyNumberFormat="1" applyFont="1" applyBorder="1" applyAlignment="1"/>
    <xf numFmtId="37" fontId="22" fillId="0" borderId="24" xfId="28" applyNumberFormat="1" applyFont="1" applyBorder="1" applyAlignment="1">
      <alignment horizontal="center" vertical="center"/>
    </xf>
    <xf numFmtId="4" fontId="0" fillId="0" borderId="51" xfId="0" applyNumberFormat="1" applyFont="1" applyBorder="1" applyAlignment="1">
      <alignment horizontal="center"/>
    </xf>
    <xf numFmtId="0" fontId="0" fillId="0" borderId="32" xfId="0" applyFont="1" applyBorder="1" applyAlignment="1">
      <alignment horizontal="center"/>
    </xf>
    <xf numFmtId="3" fontId="0" fillId="0" borderId="14" xfId="0" applyNumberFormat="1" applyFont="1" applyBorder="1" applyAlignment="1">
      <alignment horizontal="right"/>
    </xf>
    <xf numFmtId="4" fontId="0" fillId="0" borderId="52" xfId="0" applyNumberFormat="1" applyFont="1" applyBorder="1" applyAlignment="1">
      <alignment horizontal="center"/>
    </xf>
    <xf numFmtId="0" fontId="0" fillId="0" borderId="19" xfId="0" applyFont="1" applyBorder="1"/>
    <xf numFmtId="4" fontId="0" fillId="0" borderId="18" xfId="0" applyNumberFormat="1" applyFont="1" applyBorder="1" applyAlignment="1">
      <alignment horizontal="center"/>
    </xf>
    <xf numFmtId="0" fontId="0" fillId="0" borderId="24" xfId="0" applyFont="1" applyBorder="1"/>
    <xf numFmtId="0" fontId="0" fillId="0" borderId="53" xfId="0" applyFont="1" applyBorder="1" applyAlignment="1">
      <alignment horizontal="center"/>
    </xf>
    <xf numFmtId="3" fontId="0" fillId="0" borderId="53" xfId="0" applyNumberFormat="1" applyFont="1" applyBorder="1" applyAlignment="1">
      <alignment horizontal="right"/>
    </xf>
    <xf numFmtId="4" fontId="0" fillId="0" borderId="54" xfId="0" applyNumberFormat="1" applyFont="1" applyBorder="1" applyAlignment="1">
      <alignment horizontal="center"/>
    </xf>
    <xf numFmtId="4" fontId="0" fillId="0" borderId="55" xfId="0" applyNumberFormat="1" applyFont="1" applyBorder="1" applyAlignment="1">
      <alignment horizontal="center"/>
    </xf>
    <xf numFmtId="4" fontId="0" fillId="0" borderId="14" xfId="0" applyNumberFormat="1" applyFont="1" applyBorder="1" applyAlignment="1">
      <alignment horizontal="center"/>
    </xf>
    <xf numFmtId="0" fontId="22" fillId="20" borderId="56" xfId="0" applyFont="1" applyFill="1" applyBorder="1"/>
    <xf numFmtId="0" fontId="22" fillId="20" borderId="37" xfId="0" applyFont="1" applyFill="1" applyBorder="1"/>
    <xf numFmtId="0" fontId="22" fillId="24" borderId="15" xfId="0" applyFont="1" applyFill="1" applyBorder="1"/>
    <xf numFmtId="0" fontId="22" fillId="24" borderId="0" xfId="0" applyFont="1" applyFill="1" applyBorder="1"/>
    <xf numFmtId="0" fontId="0" fillId="24" borderId="0" xfId="0" applyFont="1" applyFill="1" applyBorder="1"/>
    <xf numFmtId="0" fontId="0" fillId="25" borderId="57" xfId="0" applyFont="1" applyFill="1" applyBorder="1"/>
    <xf numFmtId="0" fontId="22" fillId="20" borderId="24" xfId="0" applyFont="1" applyFill="1" applyBorder="1" applyAlignment="1">
      <alignment horizontal="center"/>
    </xf>
    <xf numFmtId="0" fontId="22" fillId="20" borderId="17" xfId="0" applyFont="1" applyFill="1" applyBorder="1"/>
    <xf numFmtId="2" fontId="0" fillId="3" borderId="17" xfId="0" applyNumberFormat="1" applyFont="1" applyFill="1" applyBorder="1" applyAlignment="1">
      <alignment horizontal="center"/>
    </xf>
    <xf numFmtId="2" fontId="0" fillId="7" borderId="17" xfId="0" applyNumberFormat="1" applyFont="1" applyFill="1" applyBorder="1" applyAlignment="1">
      <alignment horizontal="center"/>
    </xf>
    <xf numFmtId="2" fontId="0" fillId="26" borderId="17" xfId="0" applyNumberFormat="1" applyFont="1" applyFill="1" applyBorder="1" applyAlignment="1">
      <alignment horizontal="center"/>
    </xf>
    <xf numFmtId="0" fontId="22" fillId="24" borderId="24" xfId="0" applyFont="1" applyFill="1" applyBorder="1" applyAlignment="1">
      <alignment horizontal="center"/>
    </xf>
    <xf numFmtId="0" fontId="22" fillId="24" borderId="17" xfId="0" applyFont="1" applyFill="1" applyBorder="1"/>
    <xf numFmtId="2" fontId="0" fillId="24" borderId="17" xfId="0" applyNumberFormat="1" applyFont="1" applyFill="1" applyBorder="1" applyAlignment="1">
      <alignment horizontal="center"/>
    </xf>
    <xf numFmtId="2" fontId="0" fillId="24" borderId="16" xfId="0" applyNumberFormat="1" applyFont="1" applyFill="1" applyBorder="1" applyAlignment="1">
      <alignment horizontal="center"/>
    </xf>
    <xf numFmtId="2" fontId="0" fillId="24" borderId="13" xfId="0" applyNumberFormat="1" applyFont="1" applyFill="1" applyBorder="1" applyAlignment="1">
      <alignment horizontal="center"/>
    </xf>
    <xf numFmtId="2" fontId="0" fillId="26" borderId="16" xfId="0" applyNumberFormat="1" applyFont="1" applyFill="1" applyBorder="1" applyAlignment="1">
      <alignment horizontal="center"/>
    </xf>
    <xf numFmtId="2" fontId="0" fillId="4" borderId="17" xfId="0" applyNumberFormat="1" applyFont="1" applyFill="1" applyBorder="1" applyAlignment="1">
      <alignment horizontal="center"/>
    </xf>
    <xf numFmtId="2" fontId="0" fillId="26" borderId="37" xfId="0" applyNumberFormat="1" applyFont="1" applyFill="1" applyBorder="1" applyAlignment="1">
      <alignment horizontal="center"/>
    </xf>
    <xf numFmtId="0" fontId="22" fillId="24" borderId="24" xfId="0" applyFont="1" applyFill="1" applyBorder="1"/>
    <xf numFmtId="2" fontId="0" fillId="8" borderId="17" xfId="0" applyNumberFormat="1" applyFont="1" applyFill="1" applyBorder="1" applyAlignment="1">
      <alignment horizontal="center"/>
    </xf>
    <xf numFmtId="0" fontId="24" fillId="24" borderId="24" xfId="0" applyFont="1" applyFill="1" applyBorder="1"/>
    <xf numFmtId="0" fontId="22" fillId="20" borderId="41" xfId="0" applyFont="1" applyFill="1" applyBorder="1" applyAlignment="1">
      <alignment horizontal="center"/>
    </xf>
    <xf numFmtId="0" fontId="22" fillId="20" borderId="45" xfId="0" applyFont="1" applyFill="1" applyBorder="1"/>
    <xf numFmtId="2" fontId="0" fillId="3" borderId="45" xfId="0" applyNumberFormat="1" applyFont="1" applyFill="1" applyBorder="1" applyAlignment="1">
      <alignment horizontal="center"/>
    </xf>
    <xf numFmtId="2" fontId="0" fillId="7" borderId="45" xfId="0" applyNumberFormat="1" applyFont="1" applyFill="1" applyBorder="1" applyAlignment="1">
      <alignment horizontal="center"/>
    </xf>
    <xf numFmtId="2" fontId="0" fillId="26" borderId="45" xfId="0" applyNumberFormat="1" applyFont="1" applyFill="1" applyBorder="1" applyAlignment="1">
      <alignment horizontal="center"/>
    </xf>
    <xf numFmtId="2" fontId="0" fillId="26" borderId="42" xfId="0" applyNumberFormat="1" applyFont="1" applyFill="1" applyBorder="1" applyAlignment="1">
      <alignment horizontal="center"/>
    </xf>
    <xf numFmtId="1" fontId="0" fillId="0" borderId="0" xfId="0" applyNumberFormat="1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1" fontId="0" fillId="3" borderId="17" xfId="0" applyNumberFormat="1" applyFont="1" applyFill="1" applyBorder="1" applyAlignment="1">
      <alignment horizontal="center"/>
    </xf>
    <xf numFmtId="1" fontId="0" fillId="7" borderId="17" xfId="0" applyNumberFormat="1" applyFont="1" applyFill="1" applyBorder="1" applyAlignment="1">
      <alignment horizontal="center"/>
    </xf>
    <xf numFmtId="1" fontId="0" fillId="26" borderId="17" xfId="0" applyNumberFormat="1" applyFont="1" applyFill="1" applyBorder="1" applyAlignment="1">
      <alignment horizontal="center"/>
    </xf>
    <xf numFmtId="1" fontId="0" fillId="24" borderId="17" xfId="0" applyNumberFormat="1" applyFont="1" applyFill="1" applyBorder="1" applyAlignment="1">
      <alignment horizontal="center"/>
    </xf>
    <xf numFmtId="1" fontId="0" fillId="24" borderId="16" xfId="0" applyNumberFormat="1" applyFont="1" applyFill="1" applyBorder="1" applyAlignment="1">
      <alignment horizontal="center"/>
    </xf>
    <xf numFmtId="1" fontId="0" fillId="24" borderId="13" xfId="0" applyNumberFormat="1" applyFont="1" applyFill="1" applyBorder="1" applyAlignment="1">
      <alignment horizontal="center"/>
    </xf>
    <xf numFmtId="1" fontId="0" fillId="26" borderId="16" xfId="0" applyNumberFormat="1" applyFont="1" applyFill="1" applyBorder="1" applyAlignment="1">
      <alignment horizontal="center"/>
    </xf>
    <xf numFmtId="1" fontId="0" fillId="4" borderId="17" xfId="0" applyNumberFormat="1" applyFont="1" applyFill="1" applyBorder="1" applyAlignment="1">
      <alignment horizontal="center"/>
    </xf>
    <xf numFmtId="1" fontId="0" fillId="26" borderId="37" xfId="0" applyNumberFormat="1" applyFont="1" applyFill="1" applyBorder="1" applyAlignment="1">
      <alignment horizontal="center"/>
    </xf>
    <xf numFmtId="1" fontId="0" fillId="8" borderId="17" xfId="0" applyNumberFormat="1" applyFont="1" applyFill="1" applyBorder="1" applyAlignment="1">
      <alignment horizontal="center"/>
    </xf>
    <xf numFmtId="1" fontId="0" fillId="3" borderId="45" xfId="0" applyNumberFormat="1" applyFont="1" applyFill="1" applyBorder="1" applyAlignment="1">
      <alignment horizontal="center"/>
    </xf>
    <xf numFmtId="1" fontId="0" fillId="7" borderId="45" xfId="0" applyNumberFormat="1" applyFont="1" applyFill="1" applyBorder="1" applyAlignment="1">
      <alignment horizontal="center"/>
    </xf>
    <xf numFmtId="1" fontId="0" fillId="26" borderId="45" xfId="0" applyNumberFormat="1" applyFont="1" applyFill="1" applyBorder="1" applyAlignment="1">
      <alignment horizontal="center"/>
    </xf>
    <xf numFmtId="1" fontId="0" fillId="26" borderId="42" xfId="0" applyNumberFormat="1" applyFont="1" applyFill="1" applyBorder="1" applyAlignment="1">
      <alignment horizontal="center"/>
    </xf>
    <xf numFmtId="172" fontId="0" fillId="0" borderId="0" xfId="0" applyNumberFormat="1" applyFont="1"/>
    <xf numFmtId="0" fontId="25" fillId="0" borderId="0" xfId="0" applyFont="1"/>
    <xf numFmtId="1" fontId="0" fillId="3" borderId="0" xfId="0" applyNumberFormat="1" applyFont="1" applyFill="1" applyBorder="1" applyAlignment="1">
      <alignment horizontal="center"/>
    </xf>
    <xf numFmtId="1" fontId="0" fillId="7" borderId="0" xfId="0" applyNumberFormat="1" applyFont="1" applyFill="1" applyBorder="1" applyAlignment="1">
      <alignment horizontal="center"/>
    </xf>
    <xf numFmtId="1" fontId="0" fillId="4" borderId="0" xfId="0" applyNumberFormat="1" applyFont="1" applyFill="1" applyBorder="1" applyAlignment="1">
      <alignment horizontal="center"/>
    </xf>
    <xf numFmtId="1" fontId="0" fillId="8" borderId="0" xfId="0" applyNumberFormat="1" applyFont="1" applyFill="1" applyBorder="1" applyAlignment="1">
      <alignment horizontal="center"/>
    </xf>
    <xf numFmtId="0" fontId="0" fillId="0" borderId="0" xfId="0" applyFill="1" applyAlignment="1">
      <alignment vertical="center"/>
    </xf>
    <xf numFmtId="0" fontId="0" fillId="0" borderId="0" xfId="0" applyAlignment="1">
      <alignment vertical="center"/>
    </xf>
    <xf numFmtId="0" fontId="23" fillId="0" borderId="0" xfId="0" applyFont="1" applyAlignment="1">
      <alignment vertical="center"/>
    </xf>
    <xf numFmtId="0" fontId="18" fillId="0" borderId="58" xfId="0" applyFont="1" applyBorder="1" applyAlignment="1">
      <alignment horizontal="left" vertical="center" indent="1"/>
    </xf>
    <xf numFmtId="0" fontId="18" fillId="0" borderId="59" xfId="0" applyFont="1" applyBorder="1" applyAlignment="1">
      <alignment horizontal="left" vertical="center" indent="1"/>
    </xf>
    <xf numFmtId="0" fontId="18" fillId="0" borderId="60" xfId="0" applyFont="1" applyBorder="1" applyAlignment="1">
      <alignment horizontal="left" vertical="center" indent="1"/>
    </xf>
    <xf numFmtId="43" fontId="0" fillId="0" borderId="0" xfId="28" applyFont="1" applyAlignment="1">
      <alignment horizontal="right" vertical="center"/>
    </xf>
    <xf numFmtId="0" fontId="23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43" fontId="0" fillId="0" borderId="0" xfId="0" applyNumberFormat="1" applyAlignment="1">
      <alignment vertical="center"/>
    </xf>
    <xf numFmtId="0" fontId="30" fillId="0" borderId="0" xfId="0" applyFont="1"/>
    <xf numFmtId="0" fontId="30" fillId="0" borderId="0" xfId="0" applyFont="1" applyAlignment="1">
      <alignment vertical="center"/>
    </xf>
    <xf numFmtId="0" fontId="29" fillId="0" borderId="0" xfId="0" applyFont="1"/>
    <xf numFmtId="0" fontId="31" fillId="0" borderId="0" xfId="0" applyFont="1"/>
    <xf numFmtId="0" fontId="0" fillId="0" borderId="0" xfId="0" applyAlignment="1">
      <alignment horizontal="right"/>
    </xf>
    <xf numFmtId="41" fontId="0" fillId="0" borderId="0" xfId="29" applyFont="1"/>
    <xf numFmtId="0" fontId="18" fillId="0" borderId="37" xfId="0" applyFont="1" applyBorder="1" applyAlignment="1">
      <alignment horizontal="center"/>
    </xf>
    <xf numFmtId="2" fontId="18" fillId="0" borderId="37" xfId="0" applyNumberFormat="1" applyFont="1" applyBorder="1" applyAlignment="1">
      <alignment horizontal="center"/>
    </xf>
    <xf numFmtId="0" fontId="18" fillId="0" borderId="30" xfId="0" applyFont="1" applyBorder="1" applyAlignment="1">
      <alignment horizontal="center"/>
    </xf>
    <xf numFmtId="0" fontId="18" fillId="0" borderId="35" xfId="0" applyFont="1" applyBorder="1" applyAlignment="1">
      <alignment horizontal="center"/>
    </xf>
    <xf numFmtId="0" fontId="19" fillId="0" borderId="37" xfId="0" applyFont="1" applyBorder="1" applyAlignment="1">
      <alignment horizontal="left"/>
    </xf>
    <xf numFmtId="0" fontId="31" fillId="0" borderId="0" xfId="0" applyFont="1" applyAlignment="1">
      <alignment vertical="center"/>
    </xf>
    <xf numFmtId="43" fontId="0" fillId="0" borderId="15" xfId="28" applyFont="1" applyBorder="1" applyAlignment="1">
      <alignment horizontal="right" vertical="center"/>
    </xf>
    <xf numFmtId="43" fontId="0" fillId="0" borderId="0" xfId="28" applyFont="1" applyBorder="1" applyAlignment="1">
      <alignment horizontal="right" vertical="center"/>
    </xf>
    <xf numFmtId="0" fontId="18" fillId="0" borderId="61" xfId="0" applyFont="1" applyBorder="1" applyAlignment="1">
      <alignment horizontal="center" vertical="center"/>
    </xf>
    <xf numFmtId="0" fontId="18" fillId="0" borderId="44" xfId="0" applyFont="1" applyBorder="1" applyAlignment="1">
      <alignment horizontal="center" vertical="center"/>
    </xf>
    <xf numFmtId="0" fontId="18" fillId="0" borderId="62" xfId="0" applyFont="1" applyBorder="1" applyAlignment="1">
      <alignment horizontal="center" vertical="center"/>
    </xf>
    <xf numFmtId="0" fontId="18" fillId="0" borderId="63" xfId="0" applyFont="1" applyBorder="1" applyAlignment="1">
      <alignment horizontal="center" vertical="center"/>
    </xf>
    <xf numFmtId="0" fontId="18" fillId="0" borderId="64" xfId="0" applyFont="1" applyFill="1" applyBorder="1" applyAlignment="1">
      <alignment horizontal="center" vertical="center"/>
    </xf>
    <xf numFmtId="43" fontId="18" fillId="0" borderId="65" xfId="28" applyFont="1" applyBorder="1" applyAlignment="1">
      <alignment horizontal="right" vertical="center"/>
    </xf>
    <xf numFmtId="43" fontId="18" fillId="0" borderId="66" xfId="28" applyFont="1" applyBorder="1" applyAlignment="1">
      <alignment horizontal="right" vertical="center"/>
    </xf>
    <xf numFmtId="43" fontId="18" fillId="0" borderId="65" xfId="28" applyFont="1" applyFill="1" applyBorder="1" applyAlignment="1">
      <alignment horizontal="right" vertical="center"/>
    </xf>
    <xf numFmtId="43" fontId="18" fillId="0" borderId="67" xfId="28" applyFont="1" applyBorder="1" applyAlignment="1">
      <alignment horizontal="right" vertical="center"/>
    </xf>
    <xf numFmtId="173" fontId="18" fillId="0" borderId="65" xfId="28" applyNumberFormat="1" applyFont="1" applyBorder="1" applyAlignment="1">
      <alignment horizontal="right" vertical="center"/>
    </xf>
    <xf numFmtId="43" fontId="18" fillId="0" borderId="65" xfId="37" applyFont="1" applyBorder="1" applyAlignment="1">
      <alignment horizontal="right" vertical="center"/>
    </xf>
    <xf numFmtId="43" fontId="18" fillId="0" borderId="68" xfId="28" applyFont="1" applyBorder="1" applyAlignment="1">
      <alignment horizontal="right" vertical="center"/>
    </xf>
    <xf numFmtId="43" fontId="18" fillId="0" borderId="69" xfId="28" applyFont="1" applyBorder="1" applyAlignment="1">
      <alignment horizontal="right" vertical="center"/>
    </xf>
    <xf numFmtId="43" fontId="18" fillId="0" borderId="70" xfId="28" applyFont="1" applyBorder="1" applyAlignment="1">
      <alignment horizontal="right" vertical="center"/>
    </xf>
    <xf numFmtId="43" fontId="18" fillId="0" borderId="71" xfId="28" applyFont="1" applyBorder="1" applyAlignment="1">
      <alignment horizontal="right" vertical="center"/>
    </xf>
    <xf numFmtId="43" fontId="18" fillId="0" borderId="72" xfId="28" applyFont="1" applyBorder="1" applyAlignment="1">
      <alignment horizontal="right" vertical="center"/>
    </xf>
    <xf numFmtId="0" fontId="18" fillId="0" borderId="73" xfId="0" applyFont="1" applyFill="1" applyBorder="1" applyAlignment="1">
      <alignment vertical="center"/>
    </xf>
    <xf numFmtId="43" fontId="18" fillId="0" borderId="74" xfId="28" applyFont="1" applyBorder="1" applyAlignment="1">
      <alignment horizontal="right" vertical="center"/>
    </xf>
    <xf numFmtId="43" fontId="18" fillId="0" borderId="75" xfId="28" applyFont="1" applyBorder="1" applyAlignment="1">
      <alignment horizontal="right" vertical="center"/>
    </xf>
    <xf numFmtId="2" fontId="0" fillId="24" borderId="17" xfId="0" applyNumberFormat="1" applyFill="1" applyBorder="1" applyAlignment="1">
      <alignment horizontal="center"/>
    </xf>
    <xf numFmtId="2" fontId="0" fillId="3" borderId="17" xfId="0" applyNumberFormat="1" applyFill="1" applyBorder="1" applyAlignment="1">
      <alignment horizontal="center"/>
    </xf>
    <xf numFmtId="2" fontId="0" fillId="4" borderId="17" xfId="0" applyNumberFormat="1" applyFill="1" applyBorder="1" applyAlignment="1">
      <alignment horizontal="center"/>
    </xf>
    <xf numFmtId="43" fontId="0" fillId="3" borderId="17" xfId="28" applyNumberFormat="1" applyFont="1" applyFill="1" applyBorder="1" applyAlignment="1">
      <alignment horizontal="center"/>
    </xf>
    <xf numFmtId="2" fontId="0" fillId="3" borderId="0" xfId="0" applyNumberFormat="1" applyFont="1" applyFill="1" applyBorder="1" applyAlignment="1">
      <alignment horizontal="center"/>
    </xf>
    <xf numFmtId="1" fontId="0" fillId="24" borderId="17" xfId="0" applyNumberFormat="1" applyFill="1" applyBorder="1" applyAlignment="1">
      <alignment horizontal="center"/>
    </xf>
    <xf numFmtId="1" fontId="0" fillId="3" borderId="17" xfId="28" applyNumberFormat="1" applyFont="1" applyFill="1" applyBorder="1" applyAlignment="1">
      <alignment horizontal="center"/>
    </xf>
    <xf numFmtId="1" fontId="0" fillId="4" borderId="17" xfId="0" applyNumberFormat="1" applyFill="1" applyBorder="1" applyAlignment="1">
      <alignment horizontal="center"/>
    </xf>
    <xf numFmtId="2" fontId="0" fillId="7" borderId="17" xfId="0" applyNumberFormat="1" applyFill="1" applyBorder="1" applyAlignment="1">
      <alignment horizontal="center"/>
    </xf>
    <xf numFmtId="2" fontId="0" fillId="26" borderId="17" xfId="0" applyNumberFormat="1" applyFill="1" applyBorder="1" applyAlignment="1">
      <alignment horizontal="center"/>
    </xf>
    <xf numFmtId="1" fontId="0" fillId="26" borderId="17" xfId="0" applyNumberFormat="1" applyFill="1" applyBorder="1" applyAlignment="1">
      <alignment horizontal="center"/>
    </xf>
    <xf numFmtId="0" fontId="33" fillId="0" borderId="0" xfId="0" applyFont="1"/>
    <xf numFmtId="0" fontId="33" fillId="0" borderId="0" xfId="0" applyFont="1" applyAlignment="1">
      <alignment vertical="center"/>
    </xf>
    <xf numFmtId="0" fontId="34" fillId="0" borderId="0" xfId="0" applyFont="1"/>
    <xf numFmtId="0" fontId="34" fillId="0" borderId="0" xfId="0" applyFont="1" applyAlignment="1">
      <alignment vertical="center"/>
    </xf>
    <xf numFmtId="0" fontId="51" fillId="0" borderId="0" xfId="0" applyFont="1"/>
    <xf numFmtId="4" fontId="0" fillId="0" borderId="0" xfId="0" applyNumberFormat="1" applyBorder="1" applyAlignment="1">
      <alignment horizontal="right"/>
    </xf>
    <xf numFmtId="0" fontId="28" fillId="0" borderId="0" xfId="47"/>
    <xf numFmtId="0" fontId="37" fillId="0" borderId="0" xfId="47" applyFont="1" applyFill="1" applyBorder="1" applyAlignment="1">
      <alignment horizontal="center"/>
    </xf>
    <xf numFmtId="0" fontId="28" fillId="0" borderId="0" xfId="47" applyAlignment="1">
      <alignment horizontal="center"/>
    </xf>
    <xf numFmtId="0" fontId="39" fillId="0" borderId="0" xfId="47" applyFont="1" applyFill="1"/>
    <xf numFmtId="0" fontId="40" fillId="0" borderId="0" xfId="47" applyFont="1" applyFill="1" applyAlignment="1">
      <alignment horizontal="center" vertical="center"/>
    </xf>
    <xf numFmtId="0" fontId="37" fillId="0" borderId="0" xfId="47" applyFont="1" applyFill="1" applyAlignment="1">
      <alignment horizontal="right"/>
    </xf>
    <xf numFmtId="0" fontId="28" fillId="0" borderId="0" xfId="47" applyFont="1" applyFill="1"/>
    <xf numFmtId="0" fontId="41" fillId="0" borderId="76" xfId="47" applyFont="1" applyFill="1" applyBorder="1" applyAlignment="1">
      <alignment horizontal="center" vertical="center"/>
    </xf>
    <xf numFmtId="0" fontId="41" fillId="0" borderId="77" xfId="47" applyFont="1" applyFill="1" applyBorder="1" applyAlignment="1">
      <alignment horizontal="center" vertical="center"/>
    </xf>
    <xf numFmtId="43" fontId="3" fillId="0" borderId="53" xfId="28" applyFont="1" applyFill="1" applyBorder="1" applyAlignment="1">
      <alignment horizontal="center" vertical="center"/>
    </xf>
    <xf numFmtId="43" fontId="3" fillId="0" borderId="78" xfId="28" applyFont="1" applyFill="1" applyBorder="1" applyAlignment="1">
      <alignment horizontal="center" vertical="center"/>
    </xf>
    <xf numFmtId="0" fontId="41" fillId="0" borderId="78" xfId="47" applyFont="1" applyFill="1" applyBorder="1" applyAlignment="1">
      <alignment horizontal="center" vertical="center"/>
    </xf>
    <xf numFmtId="0" fontId="41" fillId="0" borderId="79" xfId="47" applyFont="1" applyFill="1" applyBorder="1" applyAlignment="1">
      <alignment horizontal="center" vertical="center"/>
    </xf>
    <xf numFmtId="0" fontId="41" fillId="0" borderId="80" xfId="47" quotePrefix="1" applyFont="1" applyFill="1" applyBorder="1" applyAlignment="1">
      <alignment horizontal="center" vertical="center"/>
    </xf>
    <xf numFmtId="176" fontId="0" fillId="0" borderId="81" xfId="29" applyNumberFormat="1" applyFont="1" applyFill="1" applyBorder="1" applyAlignment="1">
      <alignment horizontal="center" vertical="center" wrapText="1"/>
    </xf>
    <xf numFmtId="1" fontId="28" fillId="0" borderId="81" xfId="47" applyNumberFormat="1" applyFill="1" applyBorder="1" applyAlignment="1">
      <alignment horizontal="center" vertical="center"/>
    </xf>
    <xf numFmtId="0" fontId="18" fillId="0" borderId="76" xfId="47" applyFont="1" applyFill="1" applyBorder="1" applyAlignment="1">
      <alignment horizontal="center"/>
    </xf>
    <xf numFmtId="0" fontId="41" fillId="0" borderId="82" xfId="47" quotePrefix="1" applyFont="1" applyFill="1" applyBorder="1" applyAlignment="1">
      <alignment horizontal="center" vertical="center"/>
    </xf>
    <xf numFmtId="176" fontId="0" fillId="0" borderId="10" xfId="29" applyNumberFormat="1" applyFont="1" applyFill="1" applyBorder="1" applyAlignment="1">
      <alignment horizontal="center" vertical="center" wrapText="1"/>
    </xf>
    <xf numFmtId="1" fontId="28" fillId="0" borderId="10" xfId="47" applyNumberFormat="1" applyFill="1" applyBorder="1" applyAlignment="1">
      <alignment horizontal="center" vertical="center"/>
    </xf>
    <xf numFmtId="0" fontId="18" fillId="0" borderId="83" xfId="47" applyFont="1" applyFill="1" applyBorder="1" applyAlignment="1">
      <alignment horizontal="center"/>
    </xf>
    <xf numFmtId="0" fontId="41" fillId="0" borderId="82" xfId="47" applyFont="1" applyFill="1" applyBorder="1" applyAlignment="1">
      <alignment horizontal="center" vertical="center"/>
    </xf>
    <xf numFmtId="41" fontId="0" fillId="0" borderId="10" xfId="29" applyFont="1" applyFill="1" applyBorder="1" applyAlignment="1">
      <alignment horizontal="center" vertical="center" wrapText="1"/>
    </xf>
    <xf numFmtId="49" fontId="36" fillId="0" borderId="10" xfId="29" applyNumberFormat="1" applyFont="1" applyFill="1" applyBorder="1" applyAlignment="1">
      <alignment horizontal="center" vertical="center" wrapText="1"/>
    </xf>
    <xf numFmtId="0" fontId="41" fillId="0" borderId="84" xfId="47" quotePrefix="1" applyFont="1" applyFill="1" applyBorder="1" applyAlignment="1">
      <alignment horizontal="center" vertical="center"/>
    </xf>
    <xf numFmtId="0" fontId="42" fillId="0" borderId="85" xfId="47" applyFont="1" applyFill="1" applyBorder="1" applyAlignment="1">
      <alignment horizontal="center" vertical="center"/>
    </xf>
    <xf numFmtId="0" fontId="42" fillId="0" borderId="86" xfId="47" applyFont="1" applyFill="1" applyBorder="1" applyAlignment="1">
      <alignment horizontal="center" vertical="center"/>
    </xf>
    <xf numFmtId="0" fontId="35" fillId="0" borderId="85" xfId="47" applyFont="1" applyFill="1" applyBorder="1" applyAlignment="1">
      <alignment horizontal="center" vertical="center"/>
    </xf>
    <xf numFmtId="0" fontId="35" fillId="0" borderId="87" xfId="47" applyFont="1" applyFill="1" applyBorder="1" applyAlignment="1">
      <alignment horizontal="center" vertical="center"/>
    </xf>
    <xf numFmtId="0" fontId="35" fillId="0" borderId="88" xfId="47" applyFont="1" applyFill="1" applyBorder="1" applyAlignment="1">
      <alignment horizontal="center" vertical="center"/>
    </xf>
    <xf numFmtId="0" fontId="37" fillId="0" borderId="89" xfId="47" applyFont="1" applyFill="1" applyBorder="1"/>
    <xf numFmtId="0" fontId="37" fillId="0" borderId="89" xfId="47" applyFont="1" applyFill="1" applyBorder="1" applyAlignment="1">
      <alignment horizontal="center"/>
    </xf>
    <xf numFmtId="0" fontId="43" fillId="0" borderId="0" xfId="47" applyFont="1" applyFill="1" applyBorder="1"/>
    <xf numFmtId="0" fontId="37" fillId="0" borderId="0" xfId="47" applyFont="1" applyFill="1" applyBorder="1"/>
    <xf numFmtId="0" fontId="37" fillId="0" borderId="0" xfId="47" applyFont="1" applyFill="1" applyBorder="1" applyAlignment="1">
      <alignment horizontal="right"/>
    </xf>
    <xf numFmtId="0" fontId="44" fillId="0" borderId="0" xfId="47" applyFont="1" applyFill="1" applyBorder="1"/>
    <xf numFmtId="0" fontId="37" fillId="0" borderId="0" xfId="47" applyFont="1" applyFill="1"/>
    <xf numFmtId="0" fontId="37" fillId="0" borderId="0" xfId="47" applyFont="1" applyFill="1" applyAlignment="1">
      <alignment horizontal="center"/>
    </xf>
    <xf numFmtId="0" fontId="37" fillId="0" borderId="0" xfId="47" applyFont="1" applyFill="1" applyBorder="1" applyAlignment="1">
      <alignment horizontal="left"/>
    </xf>
    <xf numFmtId="0" fontId="22" fillId="0" borderId="0" xfId="0" applyFont="1" applyAlignment="1">
      <alignment vertical="center"/>
    </xf>
    <xf numFmtId="2" fontId="0" fillId="29" borderId="0" xfId="0" applyNumberFormat="1" applyFont="1" applyFill="1" applyBorder="1" applyAlignment="1">
      <alignment horizontal="center"/>
    </xf>
    <xf numFmtId="2" fontId="0" fillId="29" borderId="17" xfId="0" applyNumberFormat="1" applyFont="1" applyFill="1" applyBorder="1" applyAlignment="1">
      <alignment horizontal="center"/>
    </xf>
    <xf numFmtId="2" fontId="0" fillId="24" borderId="19" xfId="0" applyNumberFormat="1" applyFont="1" applyFill="1" applyBorder="1" applyAlignment="1">
      <alignment horizontal="center"/>
    </xf>
    <xf numFmtId="2" fontId="0" fillId="30" borderId="0" xfId="0" applyNumberFormat="1" applyFont="1" applyFill="1" applyBorder="1" applyAlignment="1">
      <alignment horizontal="center"/>
    </xf>
    <xf numFmtId="1" fontId="0" fillId="30" borderId="0" xfId="0" applyNumberFormat="1" applyFont="1" applyFill="1" applyBorder="1" applyAlignment="1">
      <alignment horizontal="center"/>
    </xf>
    <xf numFmtId="1" fontId="0" fillId="24" borderId="19" xfId="0" applyNumberFormat="1" applyFont="1" applyFill="1" applyBorder="1" applyAlignment="1">
      <alignment horizontal="center"/>
    </xf>
    <xf numFmtId="1" fontId="0" fillId="7" borderId="17" xfId="0" applyNumberFormat="1" applyFill="1" applyBorder="1" applyAlignment="1">
      <alignment horizontal="center"/>
    </xf>
    <xf numFmtId="1" fontId="0" fillId="8" borderId="17" xfId="0" applyNumberFormat="1" applyFill="1" applyBorder="1" applyAlignment="1">
      <alignment horizontal="center"/>
    </xf>
    <xf numFmtId="1" fontId="28" fillId="29" borderId="17" xfId="0" applyNumberFormat="1" applyFont="1" applyFill="1" applyBorder="1" applyAlignment="1">
      <alignment horizontal="center"/>
    </xf>
    <xf numFmtId="1" fontId="28" fillId="7" borderId="17" xfId="0" applyNumberFormat="1" applyFont="1" applyFill="1" applyBorder="1" applyAlignment="1">
      <alignment horizontal="center"/>
    </xf>
    <xf numFmtId="1" fontId="28" fillId="3" borderId="17" xfId="0" applyNumberFormat="1" applyFont="1" applyFill="1" applyBorder="1" applyAlignment="1">
      <alignment horizontal="center"/>
    </xf>
    <xf numFmtId="1" fontId="28" fillId="26" borderId="17" xfId="0" applyNumberFormat="1" applyFont="1" applyFill="1" applyBorder="1" applyAlignment="1">
      <alignment horizontal="center"/>
    </xf>
    <xf numFmtId="1" fontId="28" fillId="29" borderId="0" xfId="0" applyNumberFormat="1" applyFont="1" applyFill="1" applyBorder="1" applyAlignment="1">
      <alignment horizontal="center"/>
    </xf>
    <xf numFmtId="41" fontId="45" fillId="27" borderId="0" xfId="35" applyFill="1" applyBorder="1"/>
    <xf numFmtId="41" fontId="45" fillId="0" borderId="0" xfId="35" applyBorder="1"/>
    <xf numFmtId="41" fontId="45" fillId="0" borderId="0" xfId="35" applyFont="1" applyBorder="1"/>
    <xf numFmtId="41" fontId="45" fillId="0" borderId="0" xfId="35" applyFill="1" applyBorder="1"/>
    <xf numFmtId="41" fontId="28" fillId="0" borderId="0" xfId="35" applyFont="1" applyFill="1" applyBorder="1"/>
    <xf numFmtId="1" fontId="22" fillId="0" borderId="0" xfId="0" applyNumberFormat="1" applyFont="1"/>
    <xf numFmtId="1" fontId="33" fillId="0" borderId="0" xfId="0" applyNumberFormat="1" applyFont="1"/>
    <xf numFmtId="1" fontId="51" fillId="0" borderId="0" xfId="0" applyNumberFormat="1" applyFont="1"/>
    <xf numFmtId="0" fontId="0" fillId="20" borderId="56" xfId="0" applyFont="1" applyFill="1" applyBorder="1" applyAlignment="1">
      <alignment horizontal="center" vertical="center"/>
    </xf>
    <xf numFmtId="0" fontId="0" fillId="20" borderId="17" xfId="0" applyFont="1" applyFill="1" applyBorder="1" applyAlignment="1">
      <alignment horizontal="center" vertical="center"/>
    </xf>
    <xf numFmtId="0" fontId="19" fillId="0" borderId="10" xfId="0" applyFont="1" applyBorder="1" applyAlignment="1">
      <alignment horizontal="center"/>
    </xf>
    <xf numFmtId="0" fontId="19" fillId="0" borderId="37" xfId="0" applyFont="1" applyBorder="1" applyAlignment="1">
      <alignment horizontal="center"/>
    </xf>
    <xf numFmtId="0" fontId="19" fillId="0" borderId="13" xfId="0" applyFont="1" applyBorder="1" applyAlignment="1">
      <alignment horizontal="center"/>
    </xf>
    <xf numFmtId="0" fontId="41" fillId="0" borderId="81" xfId="47" applyFont="1" applyFill="1" applyBorder="1" applyAlignment="1">
      <alignment horizontal="center" vertical="center"/>
    </xf>
    <xf numFmtId="0" fontId="41" fillId="0" borderId="10" xfId="47" applyFont="1" applyFill="1" applyBorder="1" applyAlignment="1">
      <alignment horizontal="center" vertical="center"/>
    </xf>
    <xf numFmtId="0" fontId="46" fillId="0" borderId="0" xfId="0" applyFont="1" applyBorder="1" applyAlignment="1">
      <alignment horizontal="center" vertical="center"/>
    </xf>
    <xf numFmtId="0" fontId="46" fillId="0" borderId="0" xfId="0" applyFont="1" applyBorder="1" applyAlignment="1">
      <alignment vertical="center"/>
    </xf>
    <xf numFmtId="0" fontId="46" fillId="0" borderId="0" xfId="0" applyFont="1" applyBorder="1" applyAlignment="1">
      <alignment horizontal="center"/>
    </xf>
    <xf numFmtId="2" fontId="46" fillId="0" borderId="0" xfId="0" applyNumberFormat="1" applyFont="1" applyBorder="1" applyAlignment="1">
      <alignment horizontal="center"/>
    </xf>
    <xf numFmtId="0" fontId="47" fillId="0" borderId="0" xfId="49"/>
    <xf numFmtId="177" fontId="50" fillId="0" borderId="7" xfId="29" applyNumberFormat="1" applyFont="1" applyFill="1" applyBorder="1" applyAlignment="1">
      <alignment horizontal="right" wrapText="1"/>
    </xf>
    <xf numFmtId="177" fontId="0" fillId="0" borderId="0" xfId="0" applyNumberFormat="1"/>
    <xf numFmtId="0" fontId="0" fillId="0" borderId="0" xfId="0" applyBorder="1"/>
    <xf numFmtId="177" fontId="50" fillId="0" borderId="0" xfId="29" applyNumberFormat="1" applyFont="1" applyFill="1" applyBorder="1" applyAlignment="1">
      <alignment horizontal="right" wrapText="1"/>
    </xf>
    <xf numFmtId="177" fontId="0" fillId="0" borderId="0" xfId="0" applyNumberFormat="1" applyBorder="1"/>
    <xf numFmtId="0" fontId="50" fillId="0" borderId="0" xfId="55" applyFont="1" applyFill="1" applyBorder="1" applyAlignment="1">
      <alignment wrapText="1"/>
    </xf>
    <xf numFmtId="14" fontId="35" fillId="0" borderId="0" xfId="53" applyNumberFormat="1" applyFont="1" applyBorder="1" applyAlignment="1">
      <alignment horizontal="left"/>
    </xf>
    <xf numFmtId="0" fontId="47" fillId="0" borderId="0" xfId="53" applyFont="1"/>
    <xf numFmtId="0" fontId="50" fillId="0" borderId="0" xfId="57" applyFont="1" applyFill="1" applyBorder="1" applyAlignment="1">
      <alignment wrapText="1"/>
    </xf>
    <xf numFmtId="177" fontId="47" fillId="0" borderId="0" xfId="53" applyNumberFormat="1" applyFont="1" applyBorder="1"/>
    <xf numFmtId="0" fontId="50" fillId="0" borderId="0" xfId="58" applyFont="1" applyFill="1" applyBorder="1" applyAlignment="1">
      <alignment wrapText="1"/>
    </xf>
    <xf numFmtId="0" fontId="50" fillId="0" borderId="7" xfId="56" applyFont="1" applyFill="1" applyBorder="1" applyAlignment="1">
      <alignment wrapText="1"/>
    </xf>
    <xf numFmtId="0" fontId="18" fillId="0" borderId="10" xfId="0" applyFont="1" applyBorder="1" applyAlignment="1">
      <alignment horizontal="left" vertical="center"/>
    </xf>
    <xf numFmtId="0" fontId="18" fillId="0" borderId="12" xfId="0" applyFont="1" applyBorder="1" applyAlignment="1">
      <alignment horizontal="center" vertical="center"/>
    </xf>
    <xf numFmtId="0" fontId="20" fillId="0" borderId="0" xfId="0" applyFont="1" applyAlignment="1">
      <alignment horizontal="center"/>
    </xf>
    <xf numFmtId="0" fontId="0" fillId="0" borderId="44" xfId="0" applyFont="1" applyBorder="1"/>
    <xf numFmtId="0" fontId="0" fillId="25" borderId="90" xfId="0" applyFont="1" applyFill="1" applyBorder="1"/>
    <xf numFmtId="1" fontId="28" fillId="28" borderId="90" xfId="0" applyNumberFormat="1" applyFont="1" applyFill="1" applyBorder="1" applyAlignment="1">
      <alignment horizontal="center"/>
    </xf>
    <xf numFmtId="1" fontId="0" fillId="24" borderId="90" xfId="0" applyNumberFormat="1" applyFont="1" applyFill="1" applyBorder="1" applyAlignment="1">
      <alignment horizontal="center"/>
    </xf>
    <xf numFmtId="1" fontId="0" fillId="26" borderId="90" xfId="0" applyNumberFormat="1" applyFont="1" applyFill="1" applyBorder="1" applyAlignment="1">
      <alignment horizontal="center"/>
    </xf>
    <xf numFmtId="1" fontId="28" fillId="3" borderId="90" xfId="0" applyNumberFormat="1" applyFont="1" applyFill="1" applyBorder="1" applyAlignment="1">
      <alignment horizontal="center"/>
    </xf>
    <xf numFmtId="1" fontId="0" fillId="7" borderId="90" xfId="0" applyNumberFormat="1" applyFont="1" applyFill="1" applyBorder="1" applyAlignment="1">
      <alignment horizontal="center"/>
    </xf>
    <xf numFmtId="1" fontId="0" fillId="4" borderId="90" xfId="0" applyNumberFormat="1" applyFont="1" applyFill="1" applyBorder="1" applyAlignment="1">
      <alignment horizontal="center"/>
    </xf>
    <xf numFmtId="1" fontId="0" fillId="26" borderId="91" xfId="0" applyNumberFormat="1" applyFont="1" applyFill="1" applyBorder="1" applyAlignment="1">
      <alignment horizontal="center"/>
    </xf>
    <xf numFmtId="0" fontId="0" fillId="0" borderId="40" xfId="0" applyFont="1" applyBorder="1"/>
    <xf numFmtId="0" fontId="0" fillId="20" borderId="90" xfId="0" applyFont="1" applyFill="1" applyBorder="1" applyAlignment="1">
      <alignment horizontal="center" vertical="center"/>
    </xf>
    <xf numFmtId="2" fontId="0" fillId="28" borderId="90" xfId="0" applyNumberFormat="1" applyFont="1" applyFill="1" applyBorder="1" applyAlignment="1">
      <alignment horizontal="center"/>
    </xf>
    <xf numFmtId="2" fontId="0" fillId="24" borderId="90" xfId="0" applyNumberFormat="1" applyFont="1" applyFill="1" applyBorder="1" applyAlignment="1">
      <alignment horizontal="center"/>
    </xf>
    <xf numFmtId="2" fontId="0" fillId="26" borderId="90" xfId="0" applyNumberFormat="1" applyFont="1" applyFill="1" applyBorder="1" applyAlignment="1">
      <alignment horizontal="center"/>
    </xf>
    <xf numFmtId="2" fontId="0" fillId="3" borderId="90" xfId="0" applyNumberFormat="1" applyFont="1" applyFill="1" applyBorder="1" applyAlignment="1">
      <alignment horizontal="center"/>
    </xf>
    <xf numFmtId="2" fontId="0" fillId="7" borderId="90" xfId="0" applyNumberFormat="1" applyFont="1" applyFill="1" applyBorder="1" applyAlignment="1">
      <alignment horizontal="center"/>
    </xf>
    <xf numFmtId="2" fontId="0" fillId="4" borderId="90" xfId="0" applyNumberFormat="1" applyFont="1" applyFill="1" applyBorder="1" applyAlignment="1">
      <alignment horizontal="center"/>
    </xf>
    <xf numFmtId="2" fontId="0" fillId="26" borderId="91" xfId="0" applyNumberFormat="1" applyFont="1" applyFill="1" applyBorder="1" applyAlignment="1">
      <alignment horizontal="center"/>
    </xf>
    <xf numFmtId="0" fontId="0" fillId="25" borderId="25" xfId="0" applyFont="1" applyFill="1" applyBorder="1"/>
    <xf numFmtId="0" fontId="0" fillId="25" borderId="17" xfId="0" applyFont="1" applyFill="1" applyBorder="1"/>
    <xf numFmtId="2" fontId="0" fillId="28" borderId="17" xfId="0" applyNumberFormat="1" applyFont="1" applyFill="1" applyBorder="1" applyAlignment="1">
      <alignment horizontal="center"/>
    </xf>
    <xf numFmtId="0" fontId="0" fillId="25" borderId="19" xfId="0" applyFont="1" applyFill="1" applyBorder="1"/>
    <xf numFmtId="1" fontId="28" fillId="28" borderId="19" xfId="0" applyNumberFormat="1" applyFont="1" applyFill="1" applyBorder="1" applyAlignment="1">
      <alignment horizontal="center"/>
    </xf>
    <xf numFmtId="1" fontId="0" fillId="26" borderId="19" xfId="0" applyNumberFormat="1" applyFont="1" applyFill="1" applyBorder="1" applyAlignment="1">
      <alignment horizontal="center"/>
    </xf>
    <xf numFmtId="1" fontId="28" fillId="3" borderId="19" xfId="0" applyNumberFormat="1" applyFont="1" applyFill="1" applyBorder="1" applyAlignment="1">
      <alignment horizontal="center"/>
    </xf>
    <xf numFmtId="1" fontId="0" fillId="7" borderId="19" xfId="0" applyNumberFormat="1" applyFont="1" applyFill="1" applyBorder="1" applyAlignment="1">
      <alignment horizontal="center"/>
    </xf>
    <xf numFmtId="1" fontId="0" fillId="4" borderId="19" xfId="0" applyNumberFormat="1" applyFont="1" applyFill="1" applyBorder="1" applyAlignment="1">
      <alignment horizontal="center"/>
    </xf>
    <xf numFmtId="1" fontId="0" fillId="26" borderId="43" xfId="0" applyNumberFormat="1" applyFont="1" applyFill="1" applyBorder="1" applyAlignment="1">
      <alignment horizontal="center"/>
    </xf>
    <xf numFmtId="1" fontId="0" fillId="0" borderId="0" xfId="0" applyNumberFormat="1" applyFont="1"/>
    <xf numFmtId="0" fontId="19" fillId="0" borderId="37" xfId="0" applyFont="1" applyBorder="1" applyAlignment="1">
      <alignment horizontal="center" vertical="center"/>
    </xf>
    <xf numFmtId="0" fontId="19" fillId="0" borderId="37" xfId="0" applyFont="1" applyBorder="1" applyAlignment="1">
      <alignment vertical="center"/>
    </xf>
    <xf numFmtId="0" fontId="18" fillId="0" borderId="10" xfId="0" applyFont="1" applyBorder="1" applyAlignment="1">
      <alignment horizontal="center" vertical="center"/>
    </xf>
    <xf numFmtId="0" fontId="18" fillId="0" borderId="49" xfId="0" applyFont="1" applyBorder="1" applyAlignment="1">
      <alignment horizontal="center" vertical="center"/>
    </xf>
    <xf numFmtId="0" fontId="18" fillId="0" borderId="49" xfId="0" applyFont="1" applyBorder="1" applyAlignment="1">
      <alignment vertical="center"/>
    </xf>
    <xf numFmtId="0" fontId="18" fillId="0" borderId="49" xfId="0" applyFont="1" applyBorder="1" applyAlignment="1">
      <alignment horizontal="center"/>
    </xf>
    <xf numFmtId="2" fontId="18" fillId="0" borderId="49" xfId="0" applyNumberFormat="1" applyFont="1" applyBorder="1" applyAlignment="1">
      <alignment horizontal="center"/>
    </xf>
    <xf numFmtId="0" fontId="18" fillId="0" borderId="50" xfId="0" applyFont="1" applyBorder="1" applyAlignment="1">
      <alignment horizontal="center"/>
    </xf>
    <xf numFmtId="0" fontId="18" fillId="0" borderId="13" xfId="0" applyFont="1" applyBorder="1" applyAlignment="1">
      <alignment horizontal="center" vertical="center"/>
    </xf>
    <xf numFmtId="0" fontId="18" fillId="0" borderId="37" xfId="0" applyFont="1" applyBorder="1" applyAlignment="1">
      <alignment horizontal="center" vertical="center"/>
    </xf>
    <xf numFmtId="0" fontId="18" fillId="0" borderId="13" xfId="0" applyFont="1" applyBorder="1" applyAlignment="1">
      <alignment horizontal="left" vertical="center"/>
    </xf>
    <xf numFmtId="0" fontId="18" fillId="0" borderId="37" xfId="0" applyFont="1" applyBorder="1" applyAlignment="1">
      <alignment horizontal="left" vertical="center"/>
    </xf>
    <xf numFmtId="0" fontId="18" fillId="0" borderId="12" xfId="0" applyFont="1" applyBorder="1" applyAlignment="1">
      <alignment horizontal="center" vertical="center"/>
    </xf>
    <xf numFmtId="0" fontId="18" fillId="0" borderId="10" xfId="0" applyFont="1" applyBorder="1" applyAlignment="1">
      <alignment horizontal="left" vertical="center"/>
    </xf>
    <xf numFmtId="0" fontId="19" fillId="0" borderId="57" xfId="0" applyFont="1" applyBorder="1" applyAlignment="1">
      <alignment horizontal="center"/>
    </xf>
    <xf numFmtId="0" fontId="19" fillId="0" borderId="26" xfId="0" applyFont="1" applyBorder="1" applyAlignment="1">
      <alignment horizontal="center"/>
    </xf>
    <xf numFmtId="0" fontId="19" fillId="0" borderId="25" xfId="0" applyFont="1" applyBorder="1" applyAlignment="1">
      <alignment horizontal="center"/>
    </xf>
    <xf numFmtId="0" fontId="19" fillId="0" borderId="16" xfId="0" applyFont="1" applyBorder="1" applyAlignment="1">
      <alignment horizontal="center"/>
    </xf>
    <xf numFmtId="0" fontId="19" fillId="0" borderId="0" xfId="0" applyFont="1" applyBorder="1" applyAlignment="1">
      <alignment horizontal="center"/>
    </xf>
    <xf numFmtId="0" fontId="19" fillId="0" borderId="19" xfId="0" applyFont="1" applyBorder="1" applyAlignment="1">
      <alignment horizontal="center"/>
    </xf>
    <xf numFmtId="0" fontId="19" fillId="0" borderId="42" xfId="0" applyFont="1" applyBorder="1" applyAlignment="1">
      <alignment horizontal="center"/>
    </xf>
    <xf numFmtId="0" fontId="19" fillId="0" borderId="44" xfId="0" applyFont="1" applyBorder="1" applyAlignment="1">
      <alignment horizontal="center"/>
    </xf>
    <xf numFmtId="0" fontId="19" fillId="0" borderId="43" xfId="0" applyFont="1" applyBorder="1" applyAlignment="1">
      <alignment horizontal="center"/>
    </xf>
    <xf numFmtId="0" fontId="19" fillId="0" borderId="49" xfId="0" applyFont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 wrapText="1"/>
    </xf>
    <xf numFmtId="0" fontId="19" fillId="0" borderId="49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0" fontId="19" fillId="0" borderId="92" xfId="0" applyFont="1" applyBorder="1" applyAlignment="1">
      <alignment horizontal="center" vertical="center" wrapText="1"/>
    </xf>
    <xf numFmtId="0" fontId="19" fillId="0" borderId="93" xfId="0" applyFont="1" applyBorder="1" applyAlignment="1">
      <alignment horizontal="center" vertical="center" wrapText="1"/>
    </xf>
    <xf numFmtId="0" fontId="19" fillId="0" borderId="50" xfId="0" applyFont="1" applyBorder="1" applyAlignment="1">
      <alignment horizontal="center" vertical="center"/>
    </xf>
    <xf numFmtId="0" fontId="19" fillId="0" borderId="34" xfId="0" applyFont="1" applyBorder="1" applyAlignment="1">
      <alignment horizontal="center" vertical="center"/>
    </xf>
    <xf numFmtId="0" fontId="22" fillId="0" borderId="57" xfId="0" applyFont="1" applyBorder="1" applyAlignment="1">
      <alignment horizontal="left"/>
    </xf>
    <xf numFmtId="0" fontId="22" fillId="0" borderId="25" xfId="0" applyFont="1" applyBorder="1" applyAlignment="1">
      <alignment horizontal="left"/>
    </xf>
    <xf numFmtId="0" fontId="22" fillId="0" borderId="49" xfId="0" applyFont="1" applyBorder="1" applyAlignment="1">
      <alignment horizontal="center"/>
    </xf>
    <xf numFmtId="0" fontId="22" fillId="0" borderId="50" xfId="0" applyFont="1" applyBorder="1" applyAlignment="1">
      <alignment horizontal="center" vertical="center"/>
    </xf>
    <xf numFmtId="0" fontId="22" fillId="0" borderId="34" xfId="0" applyFont="1" applyBorder="1" applyAlignment="1">
      <alignment horizontal="center" vertical="center"/>
    </xf>
    <xf numFmtId="0" fontId="22" fillId="0" borderId="92" xfId="0" applyFont="1" applyBorder="1" applyAlignment="1">
      <alignment horizontal="center" vertical="center"/>
    </xf>
    <xf numFmtId="0" fontId="22" fillId="0" borderId="93" xfId="0" applyFont="1" applyBorder="1" applyAlignment="1">
      <alignment horizontal="center" vertical="center"/>
    </xf>
    <xf numFmtId="0" fontId="22" fillId="0" borderId="95" xfId="0" applyFont="1" applyBorder="1" applyAlignment="1">
      <alignment horizontal="center" vertical="center"/>
    </xf>
    <xf numFmtId="0" fontId="22" fillId="0" borderId="52" xfId="0" applyFont="1" applyBorder="1" applyAlignment="1">
      <alignment horizontal="center" vertical="center"/>
    </xf>
    <xf numFmtId="0" fontId="22" fillId="0" borderId="47" xfId="0" applyFont="1" applyBorder="1" applyAlignment="1">
      <alignment horizontal="center" vertical="center"/>
    </xf>
    <xf numFmtId="0" fontId="22" fillId="0" borderId="31" xfId="0" applyFont="1" applyBorder="1" applyAlignment="1">
      <alignment horizontal="center" vertical="center"/>
    </xf>
    <xf numFmtId="0" fontId="22" fillId="0" borderId="49" xfId="0" applyFont="1" applyBorder="1" applyAlignment="1">
      <alignment horizontal="center" vertical="center"/>
    </xf>
    <xf numFmtId="0" fontId="22" fillId="0" borderId="14" xfId="0" applyFont="1" applyBorder="1" applyAlignment="1">
      <alignment horizontal="center" vertical="center"/>
    </xf>
    <xf numFmtId="0" fontId="20" fillId="0" borderId="0" xfId="0" applyFont="1" applyAlignment="1">
      <alignment horizontal="center"/>
    </xf>
    <xf numFmtId="0" fontId="22" fillId="0" borderId="16" xfId="0" applyFont="1" applyBorder="1" applyAlignment="1">
      <alignment horizontal="left"/>
    </xf>
    <xf numFmtId="0" fontId="22" fillId="0" borderId="19" xfId="0" applyFont="1" applyBorder="1" applyAlignment="1">
      <alignment horizontal="left"/>
    </xf>
    <xf numFmtId="0" fontId="20" fillId="0" borderId="0" xfId="0" applyFont="1" applyBorder="1" applyAlignment="1">
      <alignment horizontal="center"/>
    </xf>
    <xf numFmtId="17" fontId="21" fillId="0" borderId="0" xfId="0" applyNumberFormat="1" applyFont="1" applyAlignment="1">
      <alignment horizontal="center"/>
    </xf>
    <xf numFmtId="0" fontId="21" fillId="0" borderId="0" xfId="0" applyNumberFormat="1" applyFont="1" applyAlignment="1">
      <alignment horizontal="center"/>
    </xf>
    <xf numFmtId="0" fontId="22" fillId="0" borderId="101" xfId="0" applyFont="1" applyBorder="1" applyAlignment="1">
      <alignment horizontal="center"/>
    </xf>
    <xf numFmtId="0" fontId="22" fillId="0" borderId="26" xfId="0" applyFont="1" applyBorder="1" applyAlignment="1"/>
    <xf numFmtId="17" fontId="21" fillId="0" borderId="0" xfId="0" applyNumberFormat="1" applyFont="1" applyBorder="1" applyAlignment="1">
      <alignment horizontal="center"/>
    </xf>
    <xf numFmtId="0" fontId="21" fillId="0" borderId="0" xfId="0" applyNumberFormat="1" applyFont="1" applyBorder="1" applyAlignment="1">
      <alignment horizontal="center"/>
    </xf>
    <xf numFmtId="0" fontId="20" fillId="0" borderId="44" xfId="0" applyFont="1" applyBorder="1" applyAlignment="1">
      <alignment horizontal="center"/>
    </xf>
    <xf numFmtId="0" fontId="22" fillId="0" borderId="94" xfId="0" applyFont="1" applyBorder="1" applyAlignment="1">
      <alignment horizontal="center"/>
    </xf>
    <xf numFmtId="0" fontId="22" fillId="0" borderId="22" xfId="0" applyFont="1" applyBorder="1" applyAlignment="1"/>
    <xf numFmtId="0" fontId="22" fillId="0" borderId="96" xfId="0" applyFont="1" applyBorder="1" applyAlignment="1">
      <alignment horizontal="center"/>
    </xf>
    <xf numFmtId="0" fontId="22" fillId="0" borderId="32" xfId="0" applyFont="1" applyBorder="1" applyAlignment="1"/>
    <xf numFmtId="0" fontId="22" fillId="0" borderId="102" xfId="0" applyFont="1" applyBorder="1" applyAlignment="1">
      <alignment horizontal="center"/>
    </xf>
    <xf numFmtId="0" fontId="22" fillId="0" borderId="103" xfId="0" applyFont="1" applyBorder="1" applyAlignment="1"/>
    <xf numFmtId="0" fontId="22" fillId="0" borderId="32" xfId="0" applyFont="1" applyBorder="1" applyAlignment="1">
      <alignment horizontal="center"/>
    </xf>
    <xf numFmtId="0" fontId="22" fillId="0" borderId="97" xfId="0" applyFont="1" applyBorder="1" applyAlignment="1">
      <alignment horizontal="left"/>
    </xf>
    <xf numFmtId="0" fontId="22" fillId="0" borderId="98" xfId="0" applyFont="1" applyBorder="1" applyAlignment="1">
      <alignment horizontal="left"/>
    </xf>
    <xf numFmtId="0" fontId="22" fillId="0" borderId="99" xfId="0" applyFont="1" applyBorder="1" applyAlignment="1">
      <alignment horizontal="center"/>
    </xf>
    <xf numFmtId="0" fontId="22" fillId="0" borderId="54" xfId="0" applyFont="1" applyBorder="1" applyAlignment="1"/>
    <xf numFmtId="0" fontId="22" fillId="0" borderId="100" xfId="0" applyFont="1" applyBorder="1" applyAlignment="1">
      <alignment horizontal="center"/>
    </xf>
    <xf numFmtId="0" fontId="22" fillId="0" borderId="48" xfId="0" applyFont="1" applyBorder="1" applyAlignment="1"/>
    <xf numFmtId="0" fontId="22" fillId="0" borderId="16" xfId="0" applyFont="1" applyFill="1" applyBorder="1" applyAlignment="1">
      <alignment horizontal="left"/>
    </xf>
    <xf numFmtId="0" fontId="22" fillId="0" borderId="19" xfId="0" applyFont="1" applyFill="1" applyBorder="1" applyAlignment="1">
      <alignment horizontal="left"/>
    </xf>
    <xf numFmtId="0" fontId="22" fillId="20" borderId="56" xfId="0" applyFont="1" applyFill="1" applyBorder="1" applyAlignment="1">
      <alignment horizontal="center" vertical="center"/>
    </xf>
    <xf numFmtId="0" fontId="22" fillId="20" borderId="17" xfId="0" applyFont="1" applyFill="1" applyBorder="1" applyAlignment="1">
      <alignment horizontal="center" vertical="center"/>
    </xf>
    <xf numFmtId="0" fontId="22" fillId="20" borderId="106" xfId="0" applyFont="1" applyFill="1" applyBorder="1" applyAlignment="1">
      <alignment horizontal="center" vertical="center"/>
    </xf>
    <xf numFmtId="0" fontId="22" fillId="20" borderId="18" xfId="0" applyFont="1" applyFill="1" applyBorder="1" applyAlignment="1">
      <alignment horizontal="center" vertical="center"/>
    </xf>
    <xf numFmtId="0" fontId="0" fillId="20" borderId="56" xfId="0" applyFont="1" applyFill="1" applyBorder="1" applyAlignment="1">
      <alignment horizontal="center" vertical="center"/>
    </xf>
    <xf numFmtId="0" fontId="0" fillId="20" borderId="37" xfId="0" applyFont="1" applyFill="1" applyBorder="1" applyAlignment="1">
      <alignment horizontal="center" vertical="center"/>
    </xf>
    <xf numFmtId="0" fontId="0" fillId="20" borderId="17" xfId="0" applyFont="1" applyFill="1" applyBorder="1" applyAlignment="1">
      <alignment horizontal="center" vertical="center"/>
    </xf>
    <xf numFmtId="0" fontId="22" fillId="20" borderId="37" xfId="0" applyFont="1" applyFill="1" applyBorder="1" applyAlignment="1">
      <alignment horizontal="center" vertical="center"/>
    </xf>
    <xf numFmtId="0" fontId="22" fillId="20" borderId="105" xfId="0" applyFont="1" applyFill="1" applyBorder="1" applyAlignment="1">
      <alignment horizontal="center" vertical="center"/>
    </xf>
    <xf numFmtId="0" fontId="22" fillId="20" borderId="35" xfId="0" applyFont="1" applyFill="1" applyBorder="1" applyAlignment="1">
      <alignment horizontal="center" vertical="center"/>
    </xf>
    <xf numFmtId="0" fontId="22" fillId="20" borderId="104" xfId="0" applyFont="1" applyFill="1" applyBorder="1" applyAlignment="1">
      <alignment horizontal="center" vertical="center"/>
    </xf>
    <xf numFmtId="0" fontId="22" fillId="20" borderId="20" xfId="0" applyFont="1" applyFill="1" applyBorder="1" applyAlignment="1">
      <alignment horizontal="center" vertical="center"/>
    </xf>
    <xf numFmtId="0" fontId="0" fillId="20" borderId="104" xfId="0" applyFont="1" applyFill="1" applyBorder="1" applyAlignment="1">
      <alignment horizontal="center" vertical="center"/>
    </xf>
    <xf numFmtId="0" fontId="0" fillId="20" borderId="20" xfId="0" applyFont="1" applyFill="1" applyBorder="1" applyAlignment="1">
      <alignment horizontal="center" vertical="center"/>
    </xf>
    <xf numFmtId="0" fontId="0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0" fontId="27" fillId="0" borderId="0" xfId="0" applyFont="1" applyBorder="1" applyAlignment="1">
      <alignment horizontal="right" vertical="center"/>
    </xf>
    <xf numFmtId="17" fontId="27" fillId="0" borderId="0" xfId="0" applyNumberFormat="1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17" fontId="27" fillId="0" borderId="0" xfId="0" applyNumberFormat="1" applyFont="1" applyAlignment="1">
      <alignment horizontal="center" vertical="center"/>
    </xf>
    <xf numFmtId="0" fontId="18" fillId="0" borderId="107" xfId="0" applyFont="1" applyFill="1" applyBorder="1" applyAlignment="1">
      <alignment horizontal="center" vertical="center"/>
    </xf>
    <xf numFmtId="0" fontId="18" fillId="0" borderId="108" xfId="0" applyFont="1" applyFill="1" applyBorder="1" applyAlignment="1">
      <alignment horizontal="center" vertical="center"/>
    </xf>
    <xf numFmtId="0" fontId="18" fillId="0" borderId="40" xfId="0" applyFont="1" applyBorder="1" applyAlignment="1">
      <alignment horizontal="center" vertical="center"/>
    </xf>
    <xf numFmtId="0" fontId="18" fillId="0" borderId="44" xfId="0" applyFont="1" applyBorder="1" applyAlignment="1">
      <alignment horizontal="center" vertical="center"/>
    </xf>
    <xf numFmtId="0" fontId="18" fillId="0" borderId="109" xfId="0" applyFont="1" applyBorder="1" applyAlignment="1">
      <alignment horizontal="center" vertical="center"/>
    </xf>
    <xf numFmtId="0" fontId="18" fillId="0" borderId="48" xfId="0" applyFont="1" applyBorder="1" applyAlignment="1">
      <alignment horizontal="center" vertical="center"/>
    </xf>
    <xf numFmtId="0" fontId="18" fillId="0" borderId="110" xfId="0" applyFont="1" applyBorder="1" applyAlignment="1">
      <alignment horizontal="center" vertical="center"/>
    </xf>
    <xf numFmtId="0" fontId="18" fillId="0" borderId="111" xfId="0" applyFont="1" applyBorder="1" applyAlignment="1">
      <alignment horizontal="center" vertical="center"/>
    </xf>
    <xf numFmtId="0" fontId="18" fillId="0" borderId="112" xfId="0" applyFont="1" applyBorder="1" applyAlignment="1">
      <alignment horizontal="center" vertical="center"/>
    </xf>
    <xf numFmtId="0" fontId="18" fillId="0" borderId="113" xfId="0" applyFont="1" applyBorder="1" applyAlignment="1">
      <alignment horizontal="center" vertical="center"/>
    </xf>
    <xf numFmtId="0" fontId="18" fillId="0" borderId="114" xfId="0" applyFont="1" applyBorder="1" applyAlignment="1">
      <alignment horizontal="center" vertical="center"/>
    </xf>
    <xf numFmtId="0" fontId="18" fillId="0" borderId="115" xfId="0" applyFont="1" applyBorder="1" applyAlignment="1">
      <alignment horizontal="center" vertical="center"/>
    </xf>
    <xf numFmtId="0" fontId="35" fillId="0" borderId="10" xfId="47" applyFont="1" applyFill="1" applyBorder="1" applyAlignment="1">
      <alignment horizontal="center" vertical="center"/>
    </xf>
    <xf numFmtId="0" fontId="28" fillId="0" borderId="10" xfId="47" applyFont="1" applyFill="1" applyBorder="1" applyAlignment="1">
      <alignment horizontal="center" vertical="center"/>
    </xf>
    <xf numFmtId="0" fontId="28" fillId="0" borderId="78" xfId="47" applyFont="1" applyFill="1" applyBorder="1" applyAlignment="1">
      <alignment horizontal="center" vertical="center"/>
    </xf>
    <xf numFmtId="3" fontId="35" fillId="0" borderId="77" xfId="29" applyNumberFormat="1" applyFont="1" applyFill="1" applyBorder="1" applyAlignment="1">
      <alignment horizontal="center" vertical="center"/>
    </xf>
    <xf numFmtId="3" fontId="35" fillId="0" borderId="79" xfId="29" applyNumberFormat="1" applyFont="1" applyFill="1" applyBorder="1" applyAlignment="1">
      <alignment horizontal="center" vertical="center"/>
    </xf>
    <xf numFmtId="1" fontId="42" fillId="0" borderId="37" xfId="47" applyNumberFormat="1" applyFont="1" applyFill="1" applyBorder="1" applyAlignment="1">
      <alignment horizontal="center" vertical="center"/>
    </xf>
    <xf numFmtId="0" fontId="42" fillId="0" borderId="10" xfId="47" applyFont="1" applyFill="1" applyBorder="1" applyAlignment="1">
      <alignment horizontal="center" vertical="center"/>
    </xf>
    <xf numFmtId="0" fontId="42" fillId="0" borderId="77" xfId="29" applyNumberFormat="1" applyFont="1" applyFill="1" applyBorder="1" applyAlignment="1">
      <alignment horizontal="center" vertical="center"/>
    </xf>
    <xf numFmtId="0" fontId="42" fillId="0" borderId="37" xfId="47" applyFont="1" applyFill="1" applyBorder="1" applyAlignment="1">
      <alignment horizontal="center" vertical="center"/>
    </xf>
    <xf numFmtId="0" fontId="41" fillId="0" borderId="10" xfId="47" applyFont="1" applyFill="1" applyBorder="1" applyAlignment="1">
      <alignment horizontal="center" vertical="center"/>
    </xf>
    <xf numFmtId="0" fontId="38" fillId="0" borderId="0" xfId="47" applyFont="1" applyFill="1" applyAlignment="1">
      <alignment horizontal="center"/>
    </xf>
    <xf numFmtId="17" fontId="38" fillId="0" borderId="0" xfId="47" quotePrefix="1" applyNumberFormat="1" applyFont="1" applyFill="1" applyAlignment="1">
      <alignment horizontal="center"/>
    </xf>
    <xf numFmtId="0" fontId="41" fillId="0" borderId="116" xfId="47" applyFont="1" applyFill="1" applyBorder="1" applyAlignment="1">
      <alignment horizontal="center" vertical="center"/>
    </xf>
    <xf numFmtId="0" fontId="41" fillId="0" borderId="117" xfId="47" applyFont="1" applyFill="1" applyBorder="1" applyAlignment="1">
      <alignment horizontal="center" vertical="center"/>
    </xf>
    <xf numFmtId="0" fontId="41" fillId="0" borderId="118" xfId="47" applyFont="1" applyFill="1" applyBorder="1" applyAlignment="1">
      <alignment horizontal="center" vertical="center"/>
    </xf>
    <xf numFmtId="0" fontId="41" fillId="0" borderId="81" xfId="47" applyFont="1" applyFill="1" applyBorder="1" applyAlignment="1">
      <alignment horizontal="center" vertical="center"/>
    </xf>
  </cellXfs>
  <cellStyles count="64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Comma [0]" xfId="29" builtinId="6"/>
    <cellStyle name="Comma [0] 2" xfId="30"/>
    <cellStyle name="Comma [0] 3" xfId="31"/>
    <cellStyle name="Comma [0] 52" xfId="32"/>
    <cellStyle name="Comma [0] 75" xfId="33"/>
    <cellStyle name="Comma [0] 78" xfId="34"/>
    <cellStyle name="Comma [0] 9" xfId="35"/>
    <cellStyle name="Comma[0]_D. Hrn" xfId="36"/>
    <cellStyle name="Comma_PANJANG PIPA 27_1" xfId="37"/>
    <cellStyle name="Explanatory Text" xfId="38" builtinId="53" customBuiltin="1"/>
    <cellStyle name="Good" xfId="39" builtinId="26" customBuiltin="1"/>
    <cellStyle name="Heading 1" xfId="40" builtinId="16" customBuiltin="1"/>
    <cellStyle name="Heading 2" xfId="41" builtinId="17" customBuiltin="1"/>
    <cellStyle name="Heading 3" xfId="42" builtinId="18" customBuiltin="1"/>
    <cellStyle name="Heading 4" xfId="43" builtinId="19" customBuiltin="1"/>
    <cellStyle name="Input" xfId="44" builtinId="20" customBuiltin="1"/>
    <cellStyle name="Linked Cell" xfId="45" builtinId="24" customBuiltin="1"/>
    <cellStyle name="Neutral" xfId="46" builtinId="28" customBuiltin="1"/>
    <cellStyle name="Normal" xfId="0" builtinId="0"/>
    <cellStyle name="Normal 2" xfId="47"/>
    <cellStyle name="Normal 60" xfId="48"/>
    <cellStyle name="Normal 63" xfId="49"/>
    <cellStyle name="Normal 64" xfId="50"/>
    <cellStyle name="Normal 86" xfId="51"/>
    <cellStyle name="Normal 89" xfId="52"/>
    <cellStyle name="Normal 91" xfId="53"/>
    <cellStyle name="Normal 98" xfId="54"/>
    <cellStyle name="Normal_Delitua" xfId="55"/>
    <cellStyle name="Normal_Denai" xfId="56"/>
    <cellStyle name="Normal_Diski" xfId="57"/>
    <cellStyle name="Normal_Yamin" xfId="58"/>
    <cellStyle name="Note" xfId="59" builtinId="10" customBuiltin="1"/>
    <cellStyle name="Output" xfId="60" builtinId="21" customBuiltin="1"/>
    <cellStyle name="Title" xfId="61" builtinId="15" customBuiltin="1"/>
    <cellStyle name="Total" xfId="62" builtinId="25" customBuiltin="1"/>
    <cellStyle name="Warning Text" xfId="63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152400</xdr:colOff>
      <xdr:row>0</xdr:row>
      <xdr:rowOff>47625</xdr:rowOff>
    </xdr:from>
    <xdr:to>
      <xdr:col>4</xdr:col>
      <xdr:colOff>476250</xdr:colOff>
      <xdr:row>1</xdr:row>
      <xdr:rowOff>47625</xdr:rowOff>
    </xdr:to>
    <xdr:sp macro="" textlink="">
      <xdr:nvSpPr>
        <xdr:cNvPr id="2193" name="Text Box 2800"/>
        <xdr:cNvSpPr txBox="1">
          <a:spLocks noChangeArrowheads="1"/>
        </xdr:cNvSpPr>
      </xdr:nvSpPr>
      <xdr:spPr bwMode="auto">
        <a:xfrm>
          <a:off x="5953125" y="47625"/>
          <a:ext cx="3238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228600</xdr:colOff>
      <xdr:row>58</xdr:row>
      <xdr:rowOff>57150</xdr:rowOff>
    </xdr:from>
    <xdr:to>
      <xdr:col>4</xdr:col>
      <xdr:colOff>495300</xdr:colOff>
      <xdr:row>59</xdr:row>
      <xdr:rowOff>104775</xdr:rowOff>
    </xdr:to>
    <xdr:sp macro="" textlink="">
      <xdr:nvSpPr>
        <xdr:cNvPr id="2194" name="Text Box 2801"/>
        <xdr:cNvSpPr txBox="1">
          <a:spLocks noChangeArrowheads="1"/>
        </xdr:cNvSpPr>
      </xdr:nvSpPr>
      <xdr:spPr bwMode="auto">
        <a:xfrm>
          <a:off x="6029325" y="10296525"/>
          <a:ext cx="26670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266700</xdr:colOff>
      <xdr:row>114</xdr:row>
      <xdr:rowOff>47625</xdr:rowOff>
    </xdr:from>
    <xdr:to>
      <xdr:col>4</xdr:col>
      <xdr:colOff>542925</xdr:colOff>
      <xdr:row>115</xdr:row>
      <xdr:rowOff>47625</xdr:rowOff>
    </xdr:to>
    <xdr:sp macro="" textlink="">
      <xdr:nvSpPr>
        <xdr:cNvPr id="2195" name="Text Box 2802"/>
        <xdr:cNvSpPr txBox="1">
          <a:spLocks noChangeArrowheads="1"/>
        </xdr:cNvSpPr>
      </xdr:nvSpPr>
      <xdr:spPr bwMode="auto">
        <a:xfrm>
          <a:off x="6067425" y="19154775"/>
          <a:ext cx="2667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180975</xdr:colOff>
      <xdr:row>168</xdr:row>
      <xdr:rowOff>47625</xdr:rowOff>
    </xdr:from>
    <xdr:to>
      <xdr:col>4</xdr:col>
      <xdr:colOff>504825</xdr:colOff>
      <xdr:row>169</xdr:row>
      <xdr:rowOff>47625</xdr:rowOff>
    </xdr:to>
    <xdr:sp macro="" textlink="">
      <xdr:nvSpPr>
        <xdr:cNvPr id="2196" name="Text Box 2803"/>
        <xdr:cNvSpPr txBox="1">
          <a:spLocks noChangeArrowheads="1"/>
        </xdr:cNvSpPr>
      </xdr:nvSpPr>
      <xdr:spPr bwMode="auto">
        <a:xfrm>
          <a:off x="5981700" y="25793700"/>
          <a:ext cx="3238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152400</xdr:colOff>
      <xdr:row>0</xdr:row>
      <xdr:rowOff>47625</xdr:rowOff>
    </xdr:from>
    <xdr:to>
      <xdr:col>4</xdr:col>
      <xdr:colOff>476250</xdr:colOff>
      <xdr:row>1</xdr:row>
      <xdr:rowOff>47625</xdr:rowOff>
    </xdr:to>
    <xdr:sp macro="" textlink="">
      <xdr:nvSpPr>
        <xdr:cNvPr id="2197" name="Text Box 2805"/>
        <xdr:cNvSpPr txBox="1">
          <a:spLocks noChangeArrowheads="1"/>
        </xdr:cNvSpPr>
      </xdr:nvSpPr>
      <xdr:spPr bwMode="auto">
        <a:xfrm>
          <a:off x="5953125" y="47625"/>
          <a:ext cx="32385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228600</xdr:colOff>
      <xdr:row>114</xdr:row>
      <xdr:rowOff>57150</xdr:rowOff>
    </xdr:from>
    <xdr:to>
      <xdr:col>4</xdr:col>
      <xdr:colOff>495300</xdr:colOff>
      <xdr:row>115</xdr:row>
      <xdr:rowOff>104775</xdr:rowOff>
    </xdr:to>
    <xdr:sp macro="" textlink="">
      <xdr:nvSpPr>
        <xdr:cNvPr id="2198" name="Text Box 2801"/>
        <xdr:cNvSpPr txBox="1">
          <a:spLocks noChangeArrowheads="1"/>
        </xdr:cNvSpPr>
      </xdr:nvSpPr>
      <xdr:spPr bwMode="auto">
        <a:xfrm>
          <a:off x="6029325" y="19164300"/>
          <a:ext cx="26670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266700</xdr:colOff>
      <xdr:row>168</xdr:row>
      <xdr:rowOff>47625</xdr:rowOff>
    </xdr:from>
    <xdr:to>
      <xdr:col>4</xdr:col>
      <xdr:colOff>542925</xdr:colOff>
      <xdr:row>169</xdr:row>
      <xdr:rowOff>47625</xdr:rowOff>
    </xdr:to>
    <xdr:sp macro="" textlink="">
      <xdr:nvSpPr>
        <xdr:cNvPr id="2199" name="Text Box 2802"/>
        <xdr:cNvSpPr txBox="1">
          <a:spLocks noChangeArrowheads="1"/>
        </xdr:cNvSpPr>
      </xdr:nvSpPr>
      <xdr:spPr bwMode="auto">
        <a:xfrm>
          <a:off x="6067425" y="25793700"/>
          <a:ext cx="2667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228600</xdr:colOff>
      <xdr:row>168</xdr:row>
      <xdr:rowOff>57150</xdr:rowOff>
    </xdr:from>
    <xdr:to>
      <xdr:col>4</xdr:col>
      <xdr:colOff>495300</xdr:colOff>
      <xdr:row>169</xdr:row>
      <xdr:rowOff>104775</xdr:rowOff>
    </xdr:to>
    <xdr:sp macro="" textlink="">
      <xdr:nvSpPr>
        <xdr:cNvPr id="2200" name="Text Box 2801"/>
        <xdr:cNvSpPr txBox="1">
          <a:spLocks noChangeArrowheads="1"/>
        </xdr:cNvSpPr>
      </xdr:nvSpPr>
      <xdr:spPr bwMode="auto">
        <a:xfrm>
          <a:off x="6029325" y="25803225"/>
          <a:ext cx="266700" cy="238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1114425</xdr:colOff>
      <xdr:row>0</xdr:row>
      <xdr:rowOff>47625</xdr:rowOff>
    </xdr:from>
    <xdr:to>
      <xdr:col>6</xdr:col>
      <xdr:colOff>1571625</xdr:colOff>
      <xdr:row>1</xdr:row>
      <xdr:rowOff>66675</xdr:rowOff>
    </xdr:to>
    <xdr:sp macro="" textlink="">
      <xdr:nvSpPr>
        <xdr:cNvPr id="3163" name="TextBox 1"/>
        <xdr:cNvSpPr txBox="1">
          <a:spLocks noChangeArrowheads="1"/>
        </xdr:cNvSpPr>
      </xdr:nvSpPr>
      <xdr:spPr bwMode="auto">
        <a:xfrm>
          <a:off x="5591175" y="47625"/>
          <a:ext cx="457200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1114425</xdr:colOff>
      <xdr:row>84</xdr:row>
      <xdr:rowOff>47625</xdr:rowOff>
    </xdr:from>
    <xdr:to>
      <xdr:col>6</xdr:col>
      <xdr:colOff>1571625</xdr:colOff>
      <xdr:row>85</xdr:row>
      <xdr:rowOff>66675</xdr:rowOff>
    </xdr:to>
    <xdr:sp macro="" textlink="">
      <xdr:nvSpPr>
        <xdr:cNvPr id="3164" name="TextBox 2"/>
        <xdr:cNvSpPr txBox="1">
          <a:spLocks noChangeArrowheads="1"/>
        </xdr:cNvSpPr>
      </xdr:nvSpPr>
      <xdr:spPr bwMode="auto">
        <a:xfrm>
          <a:off x="5591175" y="11534775"/>
          <a:ext cx="45720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1114425</xdr:colOff>
      <xdr:row>161</xdr:row>
      <xdr:rowOff>47625</xdr:rowOff>
    </xdr:from>
    <xdr:to>
      <xdr:col>6</xdr:col>
      <xdr:colOff>1571625</xdr:colOff>
      <xdr:row>162</xdr:row>
      <xdr:rowOff>66675</xdr:rowOff>
    </xdr:to>
    <xdr:sp macro="" textlink="">
      <xdr:nvSpPr>
        <xdr:cNvPr id="3165" name="TextBox 3"/>
        <xdr:cNvSpPr txBox="1">
          <a:spLocks noChangeArrowheads="1"/>
        </xdr:cNvSpPr>
      </xdr:nvSpPr>
      <xdr:spPr bwMode="auto">
        <a:xfrm>
          <a:off x="5591175" y="23355300"/>
          <a:ext cx="45720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1114425</xdr:colOff>
      <xdr:row>244</xdr:row>
      <xdr:rowOff>57150</xdr:rowOff>
    </xdr:from>
    <xdr:to>
      <xdr:col>6</xdr:col>
      <xdr:colOff>1571625</xdr:colOff>
      <xdr:row>245</xdr:row>
      <xdr:rowOff>142875</xdr:rowOff>
    </xdr:to>
    <xdr:sp macro="" textlink="">
      <xdr:nvSpPr>
        <xdr:cNvPr id="3166" name="TextBox 4"/>
        <xdr:cNvSpPr txBox="1">
          <a:spLocks noChangeArrowheads="1"/>
        </xdr:cNvSpPr>
      </xdr:nvSpPr>
      <xdr:spPr bwMode="auto">
        <a:xfrm>
          <a:off x="5591175" y="34594800"/>
          <a:ext cx="457200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1114425</xdr:colOff>
      <xdr:row>0</xdr:row>
      <xdr:rowOff>47625</xdr:rowOff>
    </xdr:from>
    <xdr:to>
      <xdr:col>6</xdr:col>
      <xdr:colOff>1571625</xdr:colOff>
      <xdr:row>1</xdr:row>
      <xdr:rowOff>66675</xdr:rowOff>
    </xdr:to>
    <xdr:sp macro="" textlink="">
      <xdr:nvSpPr>
        <xdr:cNvPr id="3167" name="TextBox 2"/>
        <xdr:cNvSpPr txBox="1">
          <a:spLocks noChangeArrowheads="1"/>
        </xdr:cNvSpPr>
      </xdr:nvSpPr>
      <xdr:spPr bwMode="auto">
        <a:xfrm>
          <a:off x="5591175" y="47625"/>
          <a:ext cx="457200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41</xdr:col>
      <xdr:colOff>276225</xdr:colOff>
      <xdr:row>0</xdr:row>
      <xdr:rowOff>28575</xdr:rowOff>
    </xdr:from>
    <xdr:to>
      <xdr:col>42</xdr:col>
      <xdr:colOff>238125</xdr:colOff>
      <xdr:row>1</xdr:row>
      <xdr:rowOff>47625</xdr:rowOff>
    </xdr:to>
    <xdr:sp macro="" textlink="">
      <xdr:nvSpPr>
        <xdr:cNvPr id="4115" name="TextBox 1"/>
        <xdr:cNvSpPr txBox="1">
          <a:spLocks noChangeArrowheads="1"/>
        </xdr:cNvSpPr>
      </xdr:nvSpPr>
      <xdr:spPr bwMode="auto">
        <a:xfrm>
          <a:off x="18792825" y="28575"/>
          <a:ext cx="390525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647700</xdr:colOff>
      <xdr:row>0</xdr:row>
      <xdr:rowOff>19050</xdr:rowOff>
    </xdr:from>
    <xdr:to>
      <xdr:col>21</xdr:col>
      <xdr:colOff>990600</xdr:colOff>
      <xdr:row>0</xdr:row>
      <xdr:rowOff>266700</xdr:rowOff>
    </xdr:to>
    <xdr:sp macro="" textlink="">
      <xdr:nvSpPr>
        <xdr:cNvPr id="5157" name="TextBox 1"/>
        <xdr:cNvSpPr txBox="1">
          <a:spLocks noChangeArrowheads="1"/>
        </xdr:cNvSpPr>
      </xdr:nvSpPr>
      <xdr:spPr bwMode="auto">
        <a:xfrm>
          <a:off x="19897725" y="19050"/>
          <a:ext cx="34290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21</xdr:col>
      <xdr:colOff>647700</xdr:colOff>
      <xdr:row>0</xdr:row>
      <xdr:rowOff>19050</xdr:rowOff>
    </xdr:from>
    <xdr:to>
      <xdr:col>21</xdr:col>
      <xdr:colOff>990600</xdr:colOff>
      <xdr:row>0</xdr:row>
      <xdr:rowOff>266700</xdr:rowOff>
    </xdr:to>
    <xdr:sp macro="" textlink="">
      <xdr:nvSpPr>
        <xdr:cNvPr id="5158" name="TextBox 1"/>
        <xdr:cNvSpPr txBox="1">
          <a:spLocks noChangeArrowheads="1"/>
        </xdr:cNvSpPr>
      </xdr:nvSpPr>
      <xdr:spPr bwMode="auto">
        <a:xfrm>
          <a:off x="19897725" y="19050"/>
          <a:ext cx="342900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13"/>
  </sheetPr>
  <dimension ref="A1:AO226"/>
  <sheetViews>
    <sheetView showGridLines="0" view="pageBreakPreview" topLeftCell="A189" zoomScale="85" zoomScaleSheetLayoutView="85" workbookViewId="0">
      <selection activeCell="A169" sqref="A169:E224"/>
    </sheetView>
  </sheetViews>
  <sheetFormatPr defaultRowHeight="14.25"/>
  <cols>
    <col min="1" max="1" width="4.7109375" style="1" customWidth="1"/>
    <col min="2" max="2" width="49" style="1" customWidth="1"/>
    <col min="3" max="3" width="21" style="1" customWidth="1"/>
    <col min="4" max="4" width="12.28515625" style="1" customWidth="1"/>
    <col min="5" max="5" width="8" style="1" customWidth="1"/>
    <col min="6" max="6" width="9.140625" style="2" bestFit="1"/>
    <col min="7" max="7" width="27.5703125" style="2" customWidth="1"/>
    <col min="8" max="39" width="9.140625" style="2"/>
    <col min="40" max="40" width="11.7109375" style="2" customWidth="1"/>
    <col min="41" max="16384" width="9.140625" style="2"/>
  </cols>
  <sheetData>
    <row r="1" spans="1:5" ht="15">
      <c r="A1" s="356" t="s">
        <v>226</v>
      </c>
      <c r="B1" s="357"/>
      <c r="C1" s="357"/>
      <c r="D1" s="357"/>
      <c r="E1" s="358"/>
    </row>
    <row r="2" spans="1:5" ht="15">
      <c r="A2" s="359" t="str">
        <f>A60</f>
        <v>Cabang-Cabang Divisi Operasi Zona-1</v>
      </c>
      <c r="B2" s="360"/>
      <c r="C2" s="360"/>
      <c r="D2" s="360"/>
      <c r="E2" s="361"/>
    </row>
    <row r="3" spans="1:5" ht="15.75" thickBot="1">
      <c r="A3" s="359" t="str">
        <f>TEK.Trans.Zona1!A2:AQ2</f>
        <v xml:space="preserve"> BULAN DESEMBER 2019</v>
      </c>
      <c r="B3" s="360"/>
      <c r="C3" s="360"/>
      <c r="D3" s="360"/>
      <c r="E3" s="361"/>
    </row>
    <row r="4" spans="1:5" ht="22.5" customHeight="1">
      <c r="A4" s="365" t="s">
        <v>1</v>
      </c>
      <c r="B4" s="365" t="s">
        <v>2</v>
      </c>
      <c r="C4" s="365" t="s">
        <v>3</v>
      </c>
      <c r="D4" s="365" t="s">
        <v>4</v>
      </c>
      <c r="E4" s="367" t="s">
        <v>272</v>
      </c>
    </row>
    <row r="5" spans="1:5" ht="22.5" customHeight="1" thickBot="1">
      <c r="A5" s="366"/>
      <c r="B5" s="366"/>
      <c r="C5" s="366"/>
      <c r="D5" s="366"/>
      <c r="E5" s="368"/>
    </row>
    <row r="6" spans="1:5" ht="14.1" customHeight="1">
      <c r="A6" s="342" t="s">
        <v>6</v>
      </c>
      <c r="B6" s="343" t="s">
        <v>7</v>
      </c>
      <c r="C6" s="181"/>
      <c r="D6" s="181"/>
      <c r="E6" s="181"/>
    </row>
    <row r="7" spans="1:5" ht="14.1" customHeight="1">
      <c r="A7" s="344"/>
      <c r="B7" s="5"/>
      <c r="C7" s="3"/>
      <c r="D7" s="6"/>
      <c r="E7" s="3"/>
    </row>
    <row r="8" spans="1:5" ht="14.1" customHeight="1">
      <c r="A8" s="369">
        <v>1</v>
      </c>
      <c r="B8" s="355" t="s">
        <v>8</v>
      </c>
      <c r="C8" s="3" t="s">
        <v>9</v>
      </c>
      <c r="D8" s="6">
        <v>3.2</v>
      </c>
      <c r="E8" s="3"/>
    </row>
    <row r="9" spans="1:5" ht="14.1" customHeight="1">
      <c r="A9" s="369"/>
      <c r="B9" s="355"/>
      <c r="C9" s="3" t="s">
        <v>10</v>
      </c>
      <c r="D9" s="6">
        <v>1.6</v>
      </c>
      <c r="E9" s="3"/>
    </row>
    <row r="10" spans="1:5" ht="14.1" customHeight="1">
      <c r="A10" s="369"/>
      <c r="B10" s="355"/>
      <c r="C10" s="3" t="s">
        <v>11</v>
      </c>
      <c r="D10" s="6">
        <v>2.4</v>
      </c>
      <c r="E10" s="3"/>
    </row>
    <row r="11" spans="1:5" ht="14.1" customHeight="1">
      <c r="A11" s="369"/>
      <c r="B11" s="355"/>
      <c r="C11" s="3" t="s">
        <v>12</v>
      </c>
      <c r="D11" s="6">
        <v>2.4</v>
      </c>
      <c r="E11" s="3"/>
    </row>
    <row r="12" spans="1:5" ht="14.1" customHeight="1">
      <c r="A12" s="369"/>
      <c r="B12" s="355"/>
      <c r="C12" s="3" t="s">
        <v>13</v>
      </c>
      <c r="D12" s="6">
        <v>2.35</v>
      </c>
      <c r="E12" s="3"/>
    </row>
    <row r="13" spans="1:5" ht="14.1" customHeight="1">
      <c r="A13" s="369"/>
      <c r="B13" s="355"/>
      <c r="C13" s="3" t="s">
        <v>14</v>
      </c>
      <c r="D13" s="6">
        <v>0.6</v>
      </c>
      <c r="E13" s="3"/>
    </row>
    <row r="14" spans="1:5" ht="14.1" customHeight="1">
      <c r="A14" s="369">
        <v>2</v>
      </c>
      <c r="B14" s="355" t="s">
        <v>15</v>
      </c>
      <c r="C14" s="3" t="s">
        <v>9</v>
      </c>
      <c r="D14" s="6">
        <v>2.2000000000000002</v>
      </c>
      <c r="E14" s="3"/>
    </row>
    <row r="15" spans="1:5" ht="14.1" customHeight="1">
      <c r="A15" s="369"/>
      <c r="B15" s="355"/>
      <c r="C15" s="3" t="s">
        <v>10</v>
      </c>
      <c r="D15" s="6">
        <v>2</v>
      </c>
      <c r="E15" s="3"/>
    </row>
    <row r="16" spans="1:5" ht="14.1" customHeight="1">
      <c r="A16" s="369"/>
      <c r="B16" s="355"/>
      <c r="C16" s="3" t="s">
        <v>11</v>
      </c>
      <c r="D16" s="6">
        <v>1.7</v>
      </c>
      <c r="E16" s="3"/>
    </row>
    <row r="17" spans="1:41" ht="14.1" customHeight="1">
      <c r="A17" s="369"/>
      <c r="B17" s="355"/>
      <c r="C17" s="3" t="s">
        <v>12</v>
      </c>
      <c r="D17" s="6">
        <v>1.7</v>
      </c>
      <c r="E17" s="3"/>
      <c r="AO17" s="2" t="s">
        <v>228</v>
      </c>
    </row>
    <row r="18" spans="1:41" ht="14.1" customHeight="1">
      <c r="A18" s="369"/>
      <c r="B18" s="355"/>
      <c r="C18" s="3" t="s">
        <v>16</v>
      </c>
      <c r="D18" s="6">
        <v>1.6</v>
      </c>
      <c r="E18" s="3"/>
    </row>
    <row r="19" spans="1:41" ht="14.1" customHeight="1">
      <c r="A19" s="369"/>
      <c r="B19" s="355"/>
      <c r="C19" s="3" t="s">
        <v>17</v>
      </c>
      <c r="D19" s="6">
        <v>1.6</v>
      </c>
      <c r="E19" s="3"/>
    </row>
    <row r="20" spans="1:41" ht="14.1" customHeight="1">
      <c r="A20" s="369">
        <v>3</v>
      </c>
      <c r="B20" s="355" t="s">
        <v>18</v>
      </c>
      <c r="C20" s="3" t="s">
        <v>9</v>
      </c>
      <c r="D20" s="6">
        <v>2.2000000000000002</v>
      </c>
      <c r="E20" s="3"/>
    </row>
    <row r="21" spans="1:41" ht="14.1" customHeight="1">
      <c r="A21" s="369"/>
      <c r="B21" s="355"/>
      <c r="C21" s="3" t="s">
        <v>10</v>
      </c>
      <c r="D21" s="6">
        <v>0.8</v>
      </c>
      <c r="E21" s="3"/>
      <c r="AO21" s="2" t="s">
        <v>282</v>
      </c>
    </row>
    <row r="22" spans="1:41" ht="14.1" customHeight="1">
      <c r="A22" s="369"/>
      <c r="B22" s="355"/>
      <c r="C22" s="3" t="s">
        <v>19</v>
      </c>
      <c r="D22" s="6">
        <v>1.4</v>
      </c>
      <c r="E22" s="3"/>
      <c r="AO22" s="2" t="s">
        <v>283</v>
      </c>
    </row>
    <row r="23" spans="1:41" ht="14.1" customHeight="1">
      <c r="A23" s="344"/>
      <c r="B23" s="310"/>
      <c r="C23" s="3"/>
      <c r="D23" s="6"/>
      <c r="E23" s="3"/>
      <c r="AO23" s="2" t="s">
        <v>228</v>
      </c>
    </row>
    <row r="24" spans="1:41" ht="14.1" customHeight="1">
      <c r="A24" s="3"/>
      <c r="B24" s="3"/>
      <c r="C24" s="3"/>
      <c r="D24" s="6"/>
      <c r="E24" s="3"/>
    </row>
    <row r="25" spans="1:41" ht="14.1" customHeight="1">
      <c r="A25" s="288" t="s">
        <v>20</v>
      </c>
      <c r="B25" s="9" t="s">
        <v>21</v>
      </c>
      <c r="C25" s="3"/>
      <c r="D25" s="6"/>
      <c r="E25" s="3"/>
      <c r="G25" s="2">
        <f>(0.32+0.3+0.32+0.32+0.3+0.32+0.32+0.3+0.32)/9</f>
        <v>0.3133333333333333</v>
      </c>
      <c r="H25" s="2">
        <f>(0.33+0.3+0.33+0.34+0.3+0.34+0.35+0.32+0.35)/9</f>
        <v>0.3288888888888889</v>
      </c>
      <c r="I25" s="2">
        <f>(0.3+0.28+0.3+0.32+0.3+0.32+0.3+0.28+0.3)/9</f>
        <v>0.30000000000000004</v>
      </c>
      <c r="K25" s="2">
        <f>(0.32+0.28+0.32+0.32+0.3+0.32+0.32+0.3+0.32)/9</f>
        <v>0.31111111111111112</v>
      </c>
      <c r="M25" s="2">
        <f>(0.32+0.3+0.32+0.3+0.28+0.3+0.3+0.28+0.3)/9</f>
        <v>0.30000000000000004</v>
      </c>
      <c r="N25" s="2">
        <f>(0.3+0.28+0.3+0.3+0.28+0.3+0.32+0.3+0.33)/9</f>
        <v>0.30111111111111111</v>
      </c>
      <c r="O25" s="2">
        <f>(0.3+0.28+0.3+0.3+0.28+0.3+0.32+0.28+0.3)/9</f>
        <v>0.29555555555555557</v>
      </c>
      <c r="X25" s="2">
        <f>(0.4+0.36+0.4+0.32+0.26+0.32+0.3+0.25+0.3)/9</f>
        <v>0.32333333333333331</v>
      </c>
      <c r="AO25" s="2" t="s">
        <v>228</v>
      </c>
    </row>
    <row r="26" spans="1:41" ht="14.1" customHeight="1">
      <c r="A26" s="3">
        <v>1</v>
      </c>
      <c r="B26" s="310" t="s">
        <v>22</v>
      </c>
      <c r="C26" s="3" t="s">
        <v>23</v>
      </c>
      <c r="D26" s="6">
        <v>0.6</v>
      </c>
      <c r="E26" s="3"/>
    </row>
    <row r="27" spans="1:41" ht="14.1" customHeight="1">
      <c r="A27" s="3">
        <v>2</v>
      </c>
      <c r="B27" s="310" t="s">
        <v>24</v>
      </c>
      <c r="C27" s="3" t="s">
        <v>23</v>
      </c>
      <c r="D27" s="6">
        <v>0.65</v>
      </c>
      <c r="E27" s="3"/>
    </row>
    <row r="28" spans="1:41" ht="14.1" customHeight="1">
      <c r="A28" s="3">
        <v>3</v>
      </c>
      <c r="B28" s="310" t="s">
        <v>25</v>
      </c>
      <c r="C28" s="3" t="s">
        <v>23</v>
      </c>
      <c r="D28" s="6">
        <v>0.5</v>
      </c>
      <c r="E28" s="3"/>
    </row>
    <row r="29" spans="1:41" ht="14.1" customHeight="1">
      <c r="A29" s="3">
        <v>4</v>
      </c>
      <c r="B29" s="310" t="s">
        <v>26</v>
      </c>
      <c r="C29" s="3" t="s">
        <v>23</v>
      </c>
      <c r="D29" s="6">
        <v>0.7</v>
      </c>
      <c r="E29" s="3"/>
    </row>
    <row r="30" spans="1:41" ht="14.1" customHeight="1">
      <c r="A30" s="3">
        <v>5</v>
      </c>
      <c r="B30" s="310" t="s">
        <v>27</v>
      </c>
      <c r="C30" s="3" t="s">
        <v>23</v>
      </c>
      <c r="D30" s="6">
        <v>0.65</v>
      </c>
      <c r="E30" s="3"/>
      <c r="F30" s="2" t="s">
        <v>195</v>
      </c>
    </row>
    <row r="31" spans="1:41" ht="14.1" customHeight="1">
      <c r="A31" s="3">
        <v>6</v>
      </c>
      <c r="B31" s="310" t="s">
        <v>28</v>
      </c>
      <c r="C31" s="3" t="s">
        <v>29</v>
      </c>
      <c r="D31" s="6">
        <v>0.4</v>
      </c>
      <c r="E31" s="3"/>
    </row>
    <row r="32" spans="1:41" ht="14.1" customHeight="1">
      <c r="A32" s="3">
        <v>7</v>
      </c>
      <c r="B32" s="310" t="s">
        <v>30</v>
      </c>
      <c r="C32" s="3" t="s">
        <v>23</v>
      </c>
      <c r="D32" s="6">
        <v>0.45</v>
      </c>
      <c r="E32" s="3"/>
    </row>
    <row r="33" spans="1:41" ht="14.1" customHeight="1">
      <c r="A33" s="3">
        <v>8</v>
      </c>
      <c r="B33" s="310" t="s">
        <v>31</v>
      </c>
      <c r="C33" s="3" t="s">
        <v>29</v>
      </c>
      <c r="D33" s="6">
        <v>0.25</v>
      </c>
      <c r="E33" s="3"/>
    </row>
    <row r="34" spans="1:41" ht="14.1" customHeight="1">
      <c r="A34" s="3">
        <v>9</v>
      </c>
      <c r="B34" s="310" t="s">
        <v>32</v>
      </c>
      <c r="C34" s="3" t="s">
        <v>29</v>
      </c>
      <c r="D34" s="6">
        <v>0.3</v>
      </c>
      <c r="E34" s="3"/>
    </row>
    <row r="35" spans="1:41" ht="14.1" customHeight="1">
      <c r="A35" s="3">
        <v>10</v>
      </c>
      <c r="B35" s="310" t="s">
        <v>33</v>
      </c>
      <c r="C35" s="3" t="s">
        <v>29</v>
      </c>
      <c r="D35" s="6">
        <v>0.85</v>
      </c>
      <c r="E35" s="3"/>
    </row>
    <row r="36" spans="1:41" ht="14.1" customHeight="1">
      <c r="A36" s="3">
        <v>11</v>
      </c>
      <c r="B36" s="310" t="s">
        <v>34</v>
      </c>
      <c r="C36" s="3" t="s">
        <v>29</v>
      </c>
      <c r="D36" s="6">
        <v>0.6</v>
      </c>
      <c r="E36" s="3"/>
    </row>
    <row r="37" spans="1:41" ht="14.1" customHeight="1">
      <c r="A37" s="3">
        <v>12</v>
      </c>
      <c r="B37" s="310" t="s">
        <v>35</v>
      </c>
      <c r="C37" s="3" t="s">
        <v>23</v>
      </c>
      <c r="D37" s="6">
        <v>0.5</v>
      </c>
      <c r="E37" s="3"/>
    </row>
    <row r="38" spans="1:41" ht="14.1" customHeight="1">
      <c r="A38" s="3">
        <v>13</v>
      </c>
      <c r="B38" s="310" t="s">
        <v>36</v>
      </c>
      <c r="C38" s="3" t="s">
        <v>23</v>
      </c>
      <c r="D38" s="6">
        <v>0.5</v>
      </c>
      <c r="E38" s="3"/>
    </row>
    <row r="39" spans="1:41" ht="14.1" customHeight="1">
      <c r="A39" s="3">
        <v>14</v>
      </c>
      <c r="B39" s="310" t="s">
        <v>37</v>
      </c>
      <c r="C39" s="3" t="s">
        <v>23</v>
      </c>
      <c r="D39" s="6">
        <v>0.2</v>
      </c>
      <c r="E39" s="3"/>
    </row>
    <row r="40" spans="1:41" ht="14.1" customHeight="1">
      <c r="A40" s="3">
        <v>15</v>
      </c>
      <c r="B40" s="310" t="s">
        <v>38</v>
      </c>
      <c r="C40" s="3" t="s">
        <v>29</v>
      </c>
      <c r="D40" s="6">
        <v>0.5</v>
      </c>
      <c r="E40" s="3"/>
    </row>
    <row r="41" spans="1:41" ht="14.1" customHeight="1">
      <c r="A41" s="3">
        <v>16</v>
      </c>
      <c r="B41" s="310" t="s">
        <v>39</v>
      </c>
      <c r="C41" s="3" t="s">
        <v>23</v>
      </c>
      <c r="D41" s="6">
        <v>0.6</v>
      </c>
      <c r="E41" s="3"/>
    </row>
    <row r="42" spans="1:41" ht="14.1" customHeight="1">
      <c r="A42" s="3">
        <v>17</v>
      </c>
      <c r="B42" s="310" t="s">
        <v>40</v>
      </c>
      <c r="C42" s="3" t="s">
        <v>23</v>
      </c>
      <c r="D42" s="6">
        <v>0.55000000000000004</v>
      </c>
      <c r="E42" s="3"/>
    </row>
    <row r="43" spans="1:41" ht="14.1" customHeight="1">
      <c r="A43" s="3">
        <v>18</v>
      </c>
      <c r="B43" s="310" t="s">
        <v>41</v>
      </c>
      <c r="C43" s="3" t="s">
        <v>23</v>
      </c>
      <c r="D43" s="6">
        <v>0.65</v>
      </c>
      <c r="E43" s="3"/>
    </row>
    <row r="44" spans="1:41" ht="14.1" customHeight="1">
      <c r="A44" s="3">
        <v>19</v>
      </c>
      <c r="B44" s="310" t="s">
        <v>42</v>
      </c>
      <c r="C44" s="3" t="s">
        <v>29</v>
      </c>
      <c r="D44" s="6">
        <v>1.6</v>
      </c>
      <c r="E44" s="3"/>
      <c r="AO44" s="177"/>
    </row>
    <row r="45" spans="1:41" ht="14.1" customHeight="1">
      <c r="A45" s="3">
        <v>20</v>
      </c>
      <c r="B45" s="310" t="s">
        <v>43</v>
      </c>
      <c r="C45" s="3" t="s">
        <v>44</v>
      </c>
      <c r="D45" s="6">
        <v>0.4</v>
      </c>
      <c r="E45" s="3"/>
    </row>
    <row r="46" spans="1:41" ht="14.1" customHeight="1">
      <c r="A46" s="3">
        <v>21</v>
      </c>
      <c r="B46" s="310" t="s">
        <v>45</v>
      </c>
      <c r="C46" s="3" t="s">
        <v>46</v>
      </c>
      <c r="D46" s="6">
        <v>0.8</v>
      </c>
      <c r="E46" s="3"/>
    </row>
    <row r="47" spans="1:41" ht="14.1" customHeight="1">
      <c r="A47" s="3"/>
      <c r="B47" s="310"/>
      <c r="C47" s="3"/>
      <c r="D47" s="6"/>
      <c r="E47" s="3"/>
    </row>
    <row r="48" spans="1:41" ht="14.1" customHeight="1">
      <c r="A48" s="3"/>
      <c r="B48" s="3"/>
      <c r="C48" s="3"/>
      <c r="D48" s="6"/>
      <c r="E48" s="3"/>
    </row>
    <row r="49" spans="1:41" ht="14.1" customHeight="1">
      <c r="A49" s="288" t="s">
        <v>47</v>
      </c>
      <c r="B49" s="9" t="s">
        <v>48</v>
      </c>
      <c r="C49" s="3"/>
      <c r="D49" s="6"/>
      <c r="E49" s="3"/>
    </row>
    <row r="50" spans="1:41" ht="14.1" customHeight="1">
      <c r="A50" s="344">
        <v>1</v>
      </c>
      <c r="B50" s="5" t="s">
        <v>49</v>
      </c>
      <c r="C50" s="3" t="s">
        <v>29</v>
      </c>
      <c r="D50" s="6">
        <v>0.25</v>
      </c>
      <c r="E50" s="3"/>
    </row>
    <row r="51" spans="1:41" ht="14.1" customHeight="1">
      <c r="A51" s="344">
        <v>2</v>
      </c>
      <c r="B51" s="5" t="s">
        <v>50</v>
      </c>
      <c r="C51" s="3" t="s">
        <v>29</v>
      </c>
      <c r="D51" s="6">
        <v>0.15</v>
      </c>
      <c r="E51" s="3"/>
    </row>
    <row r="52" spans="1:41" ht="14.1" customHeight="1">
      <c r="A52" s="344">
        <v>3</v>
      </c>
      <c r="B52" s="5" t="s">
        <v>51</v>
      </c>
      <c r="C52" s="3" t="s">
        <v>29</v>
      </c>
      <c r="D52" s="6">
        <v>0.25</v>
      </c>
      <c r="E52" s="3"/>
    </row>
    <row r="53" spans="1:41" ht="14.1" customHeight="1">
      <c r="A53" s="344">
        <v>4</v>
      </c>
      <c r="B53" s="5" t="s">
        <v>52</v>
      </c>
      <c r="C53" s="3" t="s">
        <v>44</v>
      </c>
      <c r="D53" s="6">
        <v>0.5</v>
      </c>
      <c r="E53" s="3"/>
    </row>
    <row r="54" spans="1:41" ht="14.1" customHeight="1">
      <c r="A54" s="344">
        <v>5</v>
      </c>
      <c r="B54" s="5" t="s">
        <v>53</v>
      </c>
      <c r="C54" s="3" t="s">
        <v>54</v>
      </c>
      <c r="D54" s="6">
        <v>0.6</v>
      </c>
      <c r="E54" s="3"/>
      <c r="F54" s="2">
        <v>617</v>
      </c>
      <c r="G54" s="2">
        <v>577</v>
      </c>
      <c r="H54" s="2">
        <v>762</v>
      </c>
      <c r="I54" s="2">
        <v>524</v>
      </c>
      <c r="J54" s="2">
        <v>503</v>
      </c>
      <c r="M54" s="2">
        <v>481</v>
      </c>
      <c r="O54" s="2">
        <v>332</v>
      </c>
      <c r="AO54" s="2" t="s">
        <v>228</v>
      </c>
    </row>
    <row r="55" spans="1:41" ht="14.1" customHeight="1">
      <c r="A55" s="344">
        <v>6</v>
      </c>
      <c r="B55" s="5" t="s">
        <v>53</v>
      </c>
      <c r="C55" s="3" t="s">
        <v>55</v>
      </c>
      <c r="D55" s="6">
        <v>0.75</v>
      </c>
      <c r="E55" s="3"/>
    </row>
    <row r="56" spans="1:41" ht="14.1" customHeight="1">
      <c r="A56" s="344">
        <v>7</v>
      </c>
      <c r="B56" s="5" t="s">
        <v>56</v>
      </c>
      <c r="C56" s="3" t="s">
        <v>57</v>
      </c>
      <c r="D56" s="6">
        <v>0.15</v>
      </c>
      <c r="E56" s="3"/>
    </row>
    <row r="57" spans="1:41" ht="14.1" customHeight="1">
      <c r="A57" s="344"/>
      <c r="B57" s="5"/>
      <c r="C57" s="3"/>
      <c r="D57" s="6"/>
      <c r="E57" s="3"/>
    </row>
    <row r="58" spans="1:41" ht="14.1" customHeight="1">
      <c r="A58" s="10"/>
      <c r="B58" s="11"/>
      <c r="C58" s="12"/>
      <c r="D58" s="13"/>
      <c r="E58" s="12"/>
      <c r="F58" s="2">
        <v>1883</v>
      </c>
      <c r="G58" s="2">
        <v>1874</v>
      </c>
      <c r="H58" s="2">
        <v>3471</v>
      </c>
      <c r="I58" s="2">
        <v>1646</v>
      </c>
      <c r="J58" s="2">
        <v>2082</v>
      </c>
      <c r="K58" s="2">
        <v>2431</v>
      </c>
      <c r="L58" s="2">
        <v>1333</v>
      </c>
      <c r="M58" s="2">
        <v>2411</v>
      </c>
      <c r="N58" s="2">
        <v>597</v>
      </c>
      <c r="P58" s="2">
        <v>3423</v>
      </c>
      <c r="Q58" s="2">
        <v>1709</v>
      </c>
      <c r="R58" s="2">
        <v>1629</v>
      </c>
      <c r="AO58" s="2" t="s">
        <v>282</v>
      </c>
    </row>
    <row r="59" spans="1:41" ht="15">
      <c r="A59" s="356" t="s">
        <v>288</v>
      </c>
      <c r="B59" s="357"/>
      <c r="C59" s="357"/>
      <c r="D59" s="357"/>
      <c r="E59" s="357"/>
    </row>
    <row r="60" spans="1:41" ht="15">
      <c r="A60" s="359" t="s">
        <v>0</v>
      </c>
      <c r="B60" s="360"/>
      <c r="C60" s="360"/>
      <c r="D60" s="360"/>
      <c r="E60" s="360"/>
      <c r="F60" s="2">
        <v>388</v>
      </c>
      <c r="G60" s="2">
        <v>1710</v>
      </c>
      <c r="H60" s="2">
        <v>1242</v>
      </c>
      <c r="J60" s="2">
        <v>1556</v>
      </c>
      <c r="K60" s="2">
        <v>769</v>
      </c>
      <c r="L60" s="2">
        <v>4185</v>
      </c>
      <c r="M60" s="2">
        <v>4047</v>
      </c>
      <c r="AO60" s="2" t="s">
        <v>281</v>
      </c>
    </row>
    <row r="61" spans="1:41" ht="15.75" thickBot="1">
      <c r="A61" s="362" t="str">
        <f>A3</f>
        <v xml:space="preserve"> BULAN DESEMBER 2019</v>
      </c>
      <c r="B61" s="363"/>
      <c r="C61" s="363"/>
      <c r="D61" s="363"/>
      <c r="E61" s="363"/>
    </row>
    <row r="62" spans="1:41" ht="22.5" customHeight="1">
      <c r="A62" s="365" t="s">
        <v>1</v>
      </c>
      <c r="B62" s="365" t="s">
        <v>2</v>
      </c>
      <c r="C62" s="365" t="s">
        <v>3</v>
      </c>
      <c r="D62" s="365" t="s">
        <v>4</v>
      </c>
      <c r="E62" s="372" t="s">
        <v>272</v>
      </c>
      <c r="AO62" s="2" t="s">
        <v>228</v>
      </c>
    </row>
    <row r="63" spans="1:41" ht="22.5" customHeight="1" thickBot="1">
      <c r="A63" s="366"/>
      <c r="B63" s="366"/>
      <c r="C63" s="366"/>
      <c r="D63" s="366"/>
      <c r="E63" s="373"/>
    </row>
    <row r="64" spans="1:41" ht="14.1" customHeight="1">
      <c r="A64" s="345"/>
      <c r="B64" s="346"/>
      <c r="C64" s="347"/>
      <c r="D64" s="348"/>
      <c r="E64" s="349"/>
    </row>
    <row r="65" spans="1:5" ht="14.1" customHeight="1">
      <c r="A65" s="288" t="s">
        <v>58</v>
      </c>
      <c r="B65" s="9" t="s">
        <v>59</v>
      </c>
      <c r="C65" s="3"/>
      <c r="D65" s="6"/>
      <c r="E65" s="4"/>
    </row>
    <row r="66" spans="1:5" ht="14.1" customHeight="1">
      <c r="A66" s="344">
        <v>1</v>
      </c>
      <c r="B66" s="5" t="s">
        <v>60</v>
      </c>
      <c r="C66" s="3" t="s">
        <v>61</v>
      </c>
      <c r="D66" s="6">
        <v>2.4</v>
      </c>
      <c r="E66" s="4"/>
    </row>
    <row r="67" spans="1:5" ht="14.1" customHeight="1">
      <c r="A67" s="344">
        <v>2</v>
      </c>
      <c r="B67" s="5" t="s">
        <v>274</v>
      </c>
      <c r="C67" s="3" t="s">
        <v>62</v>
      </c>
      <c r="D67" s="6">
        <v>2</v>
      </c>
      <c r="E67" s="4"/>
    </row>
    <row r="68" spans="1:5" ht="14.1" customHeight="1">
      <c r="A68" s="344">
        <v>3</v>
      </c>
      <c r="B68" s="5" t="s">
        <v>63</v>
      </c>
      <c r="C68" s="3" t="s">
        <v>64</v>
      </c>
      <c r="D68" s="6">
        <v>1.95</v>
      </c>
      <c r="E68" s="4"/>
    </row>
    <row r="69" spans="1:5" ht="14.1" customHeight="1">
      <c r="A69" s="344">
        <v>4</v>
      </c>
      <c r="B69" s="5" t="s">
        <v>65</v>
      </c>
      <c r="C69" s="3" t="s">
        <v>66</v>
      </c>
      <c r="D69" s="6">
        <v>2.7</v>
      </c>
      <c r="E69" s="4"/>
    </row>
    <row r="70" spans="1:5" ht="14.1" customHeight="1">
      <c r="A70" s="344">
        <v>5</v>
      </c>
      <c r="B70" s="5" t="s">
        <v>67</v>
      </c>
      <c r="C70" s="3" t="s">
        <v>68</v>
      </c>
      <c r="D70" s="6">
        <v>1.8</v>
      </c>
      <c r="E70" s="4"/>
    </row>
    <row r="71" spans="1:5" ht="14.1" customHeight="1">
      <c r="A71" s="344">
        <v>6</v>
      </c>
      <c r="B71" s="5" t="s">
        <v>273</v>
      </c>
      <c r="C71" s="3" t="s">
        <v>113</v>
      </c>
      <c r="D71" s="6">
        <v>0.4</v>
      </c>
      <c r="E71" s="4"/>
    </row>
    <row r="72" spans="1:5" ht="14.1" customHeight="1">
      <c r="A72" s="344"/>
      <c r="B72" s="5"/>
      <c r="C72" s="3"/>
      <c r="D72" s="6"/>
      <c r="E72" s="4"/>
    </row>
    <row r="73" spans="1:5" ht="14.1" customHeight="1">
      <c r="A73" s="288" t="s">
        <v>69</v>
      </c>
      <c r="B73" s="9" t="s">
        <v>70</v>
      </c>
      <c r="C73" s="3"/>
      <c r="D73" s="6"/>
      <c r="E73" s="4"/>
    </row>
    <row r="74" spans="1:5" ht="14.1" customHeight="1">
      <c r="A74" s="369">
        <v>1</v>
      </c>
      <c r="B74" s="355" t="s">
        <v>71</v>
      </c>
      <c r="C74" s="3" t="s">
        <v>29</v>
      </c>
      <c r="D74" s="6">
        <v>0.3</v>
      </c>
      <c r="E74" s="4"/>
    </row>
    <row r="75" spans="1:5" ht="14.1" customHeight="1">
      <c r="A75" s="369"/>
      <c r="B75" s="355"/>
      <c r="C75" s="3" t="s">
        <v>72</v>
      </c>
      <c r="D75" s="6">
        <v>0.7</v>
      </c>
      <c r="E75" s="4"/>
    </row>
    <row r="76" spans="1:5" ht="14.1" customHeight="1">
      <c r="A76" s="344">
        <v>2</v>
      </c>
      <c r="B76" s="310" t="s">
        <v>73</v>
      </c>
      <c r="C76" s="3"/>
      <c r="D76" s="6">
        <v>2.8</v>
      </c>
      <c r="E76" s="4"/>
    </row>
    <row r="77" spans="1:5" ht="14.1" customHeight="1">
      <c r="A77" s="344">
        <v>3</v>
      </c>
      <c r="B77" s="5" t="s">
        <v>74</v>
      </c>
      <c r="C77" s="3" t="s">
        <v>55</v>
      </c>
      <c r="D77" s="6">
        <v>0.35</v>
      </c>
      <c r="E77" s="4"/>
    </row>
    <row r="78" spans="1:5" ht="14.1" customHeight="1">
      <c r="A78" s="344">
        <v>4</v>
      </c>
      <c r="B78" s="5" t="s">
        <v>75</v>
      </c>
      <c r="C78" s="3" t="s">
        <v>55</v>
      </c>
      <c r="D78" s="6">
        <v>1</v>
      </c>
      <c r="E78" s="4"/>
    </row>
    <row r="79" spans="1:5" ht="14.1" customHeight="1">
      <c r="A79" s="344">
        <v>5</v>
      </c>
      <c r="B79" s="5" t="s">
        <v>76</v>
      </c>
      <c r="C79" s="3" t="s">
        <v>44</v>
      </c>
      <c r="D79" s="6">
        <v>1.4</v>
      </c>
      <c r="E79" s="4"/>
    </row>
    <row r="80" spans="1:5" ht="14.1" customHeight="1">
      <c r="A80" s="344">
        <v>6</v>
      </c>
      <c r="B80" s="5" t="s">
        <v>77</v>
      </c>
      <c r="C80" s="3" t="s">
        <v>44</v>
      </c>
      <c r="D80" s="6">
        <v>1.6</v>
      </c>
      <c r="E80" s="4"/>
    </row>
    <row r="81" spans="1:5" ht="14.1" customHeight="1">
      <c r="A81" s="369">
        <v>7</v>
      </c>
      <c r="B81" s="355" t="s">
        <v>78</v>
      </c>
      <c r="C81" s="3" t="s">
        <v>79</v>
      </c>
      <c r="D81" s="6">
        <v>1.35</v>
      </c>
      <c r="E81" s="4"/>
    </row>
    <row r="82" spans="1:5" ht="14.1" customHeight="1">
      <c r="A82" s="369"/>
      <c r="B82" s="355"/>
      <c r="C82" s="3" t="s">
        <v>80</v>
      </c>
      <c r="D82" s="6">
        <v>0.55000000000000004</v>
      </c>
      <c r="E82" s="4"/>
    </row>
    <row r="83" spans="1:5" ht="14.1" customHeight="1">
      <c r="A83" s="344">
        <v>8</v>
      </c>
      <c r="B83" s="5" t="s">
        <v>81</v>
      </c>
      <c r="C83" s="3" t="s">
        <v>82</v>
      </c>
      <c r="D83" s="6">
        <v>0.6</v>
      </c>
      <c r="E83" s="4"/>
    </row>
    <row r="84" spans="1:5" ht="14.1" customHeight="1">
      <c r="A84" s="344">
        <v>9</v>
      </c>
      <c r="B84" s="5" t="s">
        <v>83</v>
      </c>
      <c r="C84" s="3" t="s">
        <v>44</v>
      </c>
      <c r="D84" s="6">
        <v>0.4</v>
      </c>
      <c r="E84" s="4"/>
    </row>
    <row r="85" spans="1:5" ht="14.1" customHeight="1">
      <c r="A85" s="344"/>
      <c r="B85" s="5"/>
      <c r="C85" s="3"/>
      <c r="D85" s="6"/>
      <c r="E85" s="4"/>
    </row>
    <row r="86" spans="1:5" ht="14.1" customHeight="1">
      <c r="A86" s="3"/>
      <c r="B86" s="3"/>
      <c r="C86" s="3"/>
      <c r="D86" s="6"/>
      <c r="E86" s="4"/>
    </row>
    <row r="87" spans="1:5" ht="14.1" customHeight="1">
      <c r="A87" s="288" t="s">
        <v>84</v>
      </c>
      <c r="B87" s="9" t="s">
        <v>85</v>
      </c>
      <c r="C87" s="3"/>
      <c r="D87" s="6"/>
      <c r="E87" s="4"/>
    </row>
    <row r="88" spans="1:5" ht="14.1" customHeight="1">
      <c r="A88" s="369">
        <v>1</v>
      </c>
      <c r="B88" s="5" t="s">
        <v>86</v>
      </c>
      <c r="C88" s="3" t="s">
        <v>87</v>
      </c>
      <c r="D88" s="6">
        <v>3.2</v>
      </c>
      <c r="E88" s="4"/>
    </row>
    <row r="89" spans="1:5" ht="14.1" customHeight="1">
      <c r="A89" s="369"/>
      <c r="B89" s="5" t="s">
        <v>88</v>
      </c>
      <c r="C89" s="3" t="s">
        <v>87</v>
      </c>
      <c r="D89" s="6">
        <v>1.6</v>
      </c>
      <c r="E89" s="4"/>
    </row>
    <row r="90" spans="1:5" ht="14.1" customHeight="1">
      <c r="A90" s="344">
        <v>2</v>
      </c>
      <c r="B90" s="5" t="s">
        <v>89</v>
      </c>
      <c r="C90" s="3" t="s">
        <v>90</v>
      </c>
      <c r="D90" s="6">
        <v>1.8</v>
      </c>
      <c r="E90" s="4"/>
    </row>
    <row r="91" spans="1:5" ht="14.1" customHeight="1">
      <c r="A91" s="344">
        <v>3</v>
      </c>
      <c r="B91" s="5" t="s">
        <v>89</v>
      </c>
      <c r="C91" s="3" t="s">
        <v>87</v>
      </c>
      <c r="D91" s="6">
        <v>1.5</v>
      </c>
      <c r="E91" s="4"/>
    </row>
    <row r="92" spans="1:5" ht="14.1" customHeight="1">
      <c r="A92" s="344">
        <v>4</v>
      </c>
      <c r="B92" s="5" t="s">
        <v>91</v>
      </c>
      <c r="C92" s="3" t="s">
        <v>90</v>
      </c>
      <c r="D92" s="6">
        <v>1.8</v>
      </c>
      <c r="E92" s="4"/>
    </row>
    <row r="93" spans="1:5" ht="14.1" customHeight="1">
      <c r="A93" s="344">
        <v>5</v>
      </c>
      <c r="B93" s="5" t="s">
        <v>91</v>
      </c>
      <c r="C93" s="3" t="s">
        <v>57</v>
      </c>
      <c r="D93" s="6">
        <v>1.1000000000000001</v>
      </c>
      <c r="E93" s="4"/>
    </row>
    <row r="94" spans="1:5" ht="14.1" customHeight="1">
      <c r="A94" s="344">
        <v>6</v>
      </c>
      <c r="B94" s="5" t="s">
        <v>91</v>
      </c>
      <c r="C94" s="3" t="s">
        <v>92</v>
      </c>
      <c r="D94" s="6">
        <v>1.9</v>
      </c>
      <c r="E94" s="4"/>
    </row>
    <row r="95" spans="1:5" ht="14.1" customHeight="1">
      <c r="A95" s="344">
        <v>7</v>
      </c>
      <c r="B95" s="5" t="s">
        <v>91</v>
      </c>
      <c r="C95" s="3" t="s">
        <v>54</v>
      </c>
      <c r="D95" s="6">
        <v>1.8</v>
      </c>
      <c r="E95" s="4"/>
    </row>
    <row r="96" spans="1:5" ht="14.1" customHeight="1">
      <c r="A96" s="344"/>
      <c r="B96" s="5"/>
      <c r="C96" s="3"/>
      <c r="D96" s="6"/>
      <c r="E96" s="4"/>
    </row>
    <row r="97" spans="1:5" ht="14.1" customHeight="1">
      <c r="A97" s="3"/>
      <c r="B97" s="3"/>
      <c r="C97" s="3"/>
      <c r="D97" s="6"/>
      <c r="E97" s="4"/>
    </row>
    <row r="98" spans="1:5" ht="14.1" customHeight="1">
      <c r="A98" s="288" t="s">
        <v>93</v>
      </c>
      <c r="B98" s="9" t="s">
        <v>94</v>
      </c>
      <c r="C98" s="3"/>
      <c r="D98" s="6"/>
      <c r="E98" s="4"/>
    </row>
    <row r="99" spans="1:5" ht="14.1" customHeight="1">
      <c r="A99" s="344">
        <v>1</v>
      </c>
      <c r="B99" s="5" t="s">
        <v>95</v>
      </c>
      <c r="C99" s="3" t="s">
        <v>29</v>
      </c>
      <c r="D99" s="6">
        <v>0.25</v>
      </c>
      <c r="E99" s="4"/>
    </row>
    <row r="100" spans="1:5" ht="14.1" hidden="1" customHeight="1">
      <c r="A100" s="344">
        <f>A99+1</f>
        <v>2</v>
      </c>
      <c r="B100" s="5" t="s">
        <v>96</v>
      </c>
      <c r="C100" s="3" t="s">
        <v>44</v>
      </c>
      <c r="D100" s="6" t="s">
        <v>97</v>
      </c>
      <c r="E100" s="4"/>
    </row>
    <row r="101" spans="1:5" ht="14.1" hidden="1" customHeight="1">
      <c r="A101" s="344">
        <v>3</v>
      </c>
      <c r="B101" s="5" t="s">
        <v>98</v>
      </c>
      <c r="C101" s="3" t="s">
        <v>99</v>
      </c>
      <c r="D101" s="6" t="s">
        <v>97</v>
      </c>
      <c r="E101" s="4"/>
    </row>
    <row r="102" spans="1:5" ht="14.1" customHeight="1">
      <c r="A102" s="344">
        <f>A99+1</f>
        <v>2</v>
      </c>
      <c r="B102" s="5" t="s">
        <v>100</v>
      </c>
      <c r="C102" s="3" t="s">
        <v>29</v>
      </c>
      <c r="D102" s="6">
        <v>0.3</v>
      </c>
      <c r="E102" s="4"/>
    </row>
    <row r="103" spans="1:5" ht="14.1" customHeight="1">
      <c r="A103" s="344">
        <f>A102+1</f>
        <v>3</v>
      </c>
      <c r="B103" s="5" t="s">
        <v>101</v>
      </c>
      <c r="C103" s="3" t="s">
        <v>44</v>
      </c>
      <c r="D103" s="6">
        <v>0.35</v>
      </c>
      <c r="E103" s="4"/>
    </row>
    <row r="104" spans="1:5" ht="14.1" customHeight="1">
      <c r="A104" s="344">
        <v>4</v>
      </c>
      <c r="B104" s="5" t="s">
        <v>102</v>
      </c>
      <c r="C104" s="3" t="s">
        <v>44</v>
      </c>
      <c r="D104" s="6">
        <v>0.45</v>
      </c>
      <c r="E104" s="4"/>
    </row>
    <row r="105" spans="1:5" ht="14.1" customHeight="1">
      <c r="A105" s="344">
        <v>5</v>
      </c>
      <c r="B105" s="5" t="s">
        <v>103</v>
      </c>
      <c r="C105" s="3" t="s">
        <v>29</v>
      </c>
      <c r="D105" s="6">
        <v>0.38</v>
      </c>
      <c r="E105" s="4"/>
    </row>
    <row r="106" spans="1:5" ht="14.1" customHeight="1">
      <c r="A106" s="344">
        <v>6</v>
      </c>
      <c r="B106" s="5" t="s">
        <v>104</v>
      </c>
      <c r="C106" s="3" t="s">
        <v>23</v>
      </c>
      <c r="D106" s="6">
        <v>0.2</v>
      </c>
      <c r="E106" s="4"/>
    </row>
    <row r="107" spans="1:5" ht="14.1" hidden="1" customHeight="1">
      <c r="A107" s="344">
        <v>9</v>
      </c>
      <c r="B107" s="5" t="s">
        <v>105</v>
      </c>
      <c r="C107" s="3" t="s">
        <v>106</v>
      </c>
      <c r="D107" s="6" t="s">
        <v>97</v>
      </c>
      <c r="E107" s="4"/>
    </row>
    <row r="108" spans="1:5" ht="14.1" hidden="1" customHeight="1">
      <c r="A108" s="344">
        <v>10</v>
      </c>
      <c r="B108" s="5" t="s">
        <v>107</v>
      </c>
      <c r="C108" s="3" t="s">
        <v>99</v>
      </c>
      <c r="D108" s="6" t="s">
        <v>97</v>
      </c>
      <c r="E108" s="4"/>
    </row>
    <row r="109" spans="1:5" ht="14.1" hidden="1" customHeight="1">
      <c r="A109" s="344">
        <v>11</v>
      </c>
      <c r="B109" s="5" t="s">
        <v>108</v>
      </c>
      <c r="C109" s="3" t="s">
        <v>109</v>
      </c>
      <c r="D109" s="6" t="s">
        <v>97</v>
      </c>
      <c r="E109" s="4"/>
    </row>
    <row r="110" spans="1:5" ht="14.1" hidden="1" customHeight="1">
      <c r="A110" s="344">
        <v>12</v>
      </c>
      <c r="B110" s="5" t="s">
        <v>110</v>
      </c>
      <c r="C110" s="3" t="s">
        <v>109</v>
      </c>
      <c r="D110" s="6" t="s">
        <v>97</v>
      </c>
      <c r="E110" s="4"/>
    </row>
    <row r="111" spans="1:5" ht="14.1" customHeight="1">
      <c r="A111" s="344">
        <f>A106+1</f>
        <v>7</v>
      </c>
      <c r="B111" s="5" t="s">
        <v>111</v>
      </c>
      <c r="C111" s="3" t="s">
        <v>23</v>
      </c>
      <c r="D111" s="6">
        <v>0.32</v>
      </c>
      <c r="E111" s="4"/>
    </row>
    <row r="112" spans="1:5" ht="14.1" customHeight="1">
      <c r="A112" s="344">
        <f>A111+1</f>
        <v>8</v>
      </c>
      <c r="B112" s="5" t="s">
        <v>112</v>
      </c>
      <c r="C112" s="3" t="s">
        <v>113</v>
      </c>
      <c r="D112" s="6">
        <v>0.5</v>
      </c>
      <c r="E112" s="4"/>
    </row>
    <row r="113" spans="1:5" ht="14.1" customHeight="1">
      <c r="A113" s="311"/>
      <c r="B113" s="5"/>
      <c r="C113" s="3"/>
      <c r="D113" s="6"/>
      <c r="E113" s="4"/>
    </row>
    <row r="114" spans="1:5" ht="14.1" customHeight="1">
      <c r="A114" s="293"/>
      <c r="B114" s="294"/>
      <c r="C114" s="295"/>
      <c r="D114" s="296"/>
      <c r="E114" s="295"/>
    </row>
    <row r="115" spans="1:5" ht="15">
      <c r="A115" s="360" t="s">
        <v>288</v>
      </c>
      <c r="B115" s="360"/>
      <c r="C115" s="360"/>
      <c r="D115" s="360"/>
      <c r="E115" s="360"/>
    </row>
    <row r="116" spans="1:5" ht="15">
      <c r="A116" s="360" t="s">
        <v>0</v>
      </c>
      <c r="B116" s="360"/>
      <c r="C116" s="360"/>
      <c r="D116" s="360"/>
      <c r="E116" s="360"/>
    </row>
    <row r="117" spans="1:5" ht="15.75" thickBot="1">
      <c r="A117" s="363" t="str">
        <f>A61</f>
        <v xml:space="preserve"> BULAN DESEMBER 2019</v>
      </c>
      <c r="B117" s="363"/>
      <c r="C117" s="363"/>
      <c r="D117" s="363"/>
      <c r="E117" s="363"/>
    </row>
    <row r="118" spans="1:5" ht="22.5" customHeight="1">
      <c r="A118" s="370" t="s">
        <v>1</v>
      </c>
      <c r="B118" s="365" t="s">
        <v>2</v>
      </c>
      <c r="C118" s="365" t="s">
        <v>3</v>
      </c>
      <c r="D118" s="365" t="s">
        <v>4</v>
      </c>
      <c r="E118" s="372" t="s">
        <v>272</v>
      </c>
    </row>
    <row r="119" spans="1:5" ht="22.5" customHeight="1" thickBot="1">
      <c r="A119" s="371"/>
      <c r="B119" s="366"/>
      <c r="C119" s="366"/>
      <c r="D119" s="366"/>
      <c r="E119" s="373"/>
    </row>
    <row r="120" spans="1:5" ht="14.1" customHeight="1">
      <c r="A120" s="184"/>
      <c r="B120" s="181"/>
      <c r="C120" s="181"/>
      <c r="D120" s="182"/>
      <c r="E120" s="183"/>
    </row>
    <row r="121" spans="1:5" ht="14.1" customHeight="1">
      <c r="A121" s="14" t="s">
        <v>114</v>
      </c>
      <c r="B121" s="9" t="s">
        <v>115</v>
      </c>
      <c r="C121" s="3"/>
      <c r="D121" s="6"/>
      <c r="E121" s="4"/>
    </row>
    <row r="122" spans="1:5" ht="14.1" customHeight="1">
      <c r="A122" s="354">
        <v>1</v>
      </c>
      <c r="B122" s="355" t="s">
        <v>116</v>
      </c>
      <c r="C122" s="3" t="s">
        <v>55</v>
      </c>
      <c r="D122" s="6">
        <v>0.25</v>
      </c>
      <c r="E122" s="4"/>
    </row>
    <row r="123" spans="1:5" ht="14.1" hidden="1" customHeight="1">
      <c r="A123" s="354"/>
      <c r="B123" s="355"/>
      <c r="C123" s="3" t="s">
        <v>99</v>
      </c>
      <c r="D123" s="6">
        <v>0.3</v>
      </c>
      <c r="E123" s="4"/>
    </row>
    <row r="124" spans="1:5" ht="14.1" customHeight="1">
      <c r="A124" s="354">
        <v>2</v>
      </c>
      <c r="B124" s="355" t="s">
        <v>95</v>
      </c>
      <c r="C124" s="3" t="s">
        <v>29</v>
      </c>
      <c r="D124" s="6">
        <v>0.3</v>
      </c>
      <c r="E124" s="4"/>
    </row>
    <row r="125" spans="1:5" ht="14.1" hidden="1" customHeight="1">
      <c r="A125" s="354"/>
      <c r="B125" s="355"/>
      <c r="C125" s="3" t="s">
        <v>117</v>
      </c>
      <c r="D125" s="6" t="s">
        <v>97</v>
      </c>
      <c r="E125" s="4"/>
    </row>
    <row r="126" spans="1:5" ht="14.1" hidden="1" customHeight="1">
      <c r="A126" s="354"/>
      <c r="B126" s="355"/>
      <c r="C126" s="3" t="s">
        <v>106</v>
      </c>
      <c r="D126" s="6" t="s">
        <v>97</v>
      </c>
      <c r="E126" s="4"/>
    </row>
    <row r="127" spans="1:5" ht="14.1" hidden="1" customHeight="1">
      <c r="A127" s="354">
        <v>3</v>
      </c>
      <c r="B127" s="310" t="s">
        <v>118</v>
      </c>
      <c r="C127" s="3" t="s">
        <v>106</v>
      </c>
      <c r="D127" s="6">
        <v>0.35</v>
      </c>
      <c r="E127" s="4"/>
    </row>
    <row r="128" spans="1:5" ht="14.1" hidden="1" customHeight="1">
      <c r="A128" s="354"/>
      <c r="B128" s="310" t="s">
        <v>119</v>
      </c>
      <c r="C128" s="3" t="s">
        <v>106</v>
      </c>
      <c r="D128" s="6">
        <v>0.3</v>
      </c>
      <c r="E128" s="4"/>
    </row>
    <row r="129" spans="1:5" ht="14.1" customHeight="1">
      <c r="A129" s="311">
        <v>3</v>
      </c>
      <c r="B129" s="310" t="s">
        <v>120</v>
      </c>
      <c r="C129" s="3" t="s">
        <v>29</v>
      </c>
      <c r="D129" s="6">
        <v>0.3</v>
      </c>
      <c r="E129" s="4"/>
    </row>
    <row r="130" spans="1:5" ht="14.1" hidden="1" customHeight="1">
      <c r="A130" s="354">
        <v>5</v>
      </c>
      <c r="B130" s="310" t="s">
        <v>121</v>
      </c>
      <c r="C130" s="3" t="s">
        <v>106</v>
      </c>
      <c r="D130" s="6">
        <v>0.3</v>
      </c>
      <c r="E130" s="4"/>
    </row>
    <row r="131" spans="1:5" ht="14.1" hidden="1" customHeight="1">
      <c r="A131" s="354"/>
      <c r="B131" s="310" t="s">
        <v>122</v>
      </c>
      <c r="C131" s="3" t="s">
        <v>106</v>
      </c>
      <c r="D131" s="6">
        <v>0.3</v>
      </c>
      <c r="E131" s="4"/>
    </row>
    <row r="132" spans="1:5" ht="14.1" customHeight="1">
      <c r="A132" s="354">
        <v>4</v>
      </c>
      <c r="B132" s="355" t="s">
        <v>123</v>
      </c>
      <c r="C132" s="3" t="s">
        <v>23</v>
      </c>
      <c r="D132" s="6">
        <v>0.4</v>
      </c>
      <c r="E132" s="4"/>
    </row>
    <row r="133" spans="1:5" ht="14.1" hidden="1" customHeight="1">
      <c r="A133" s="354"/>
      <c r="B133" s="355"/>
      <c r="C133" s="3" t="s">
        <v>117</v>
      </c>
      <c r="D133" s="6">
        <v>0.45</v>
      </c>
      <c r="E133" s="4"/>
    </row>
    <row r="134" spans="1:5" ht="14.1" hidden="1" customHeight="1">
      <c r="A134" s="311">
        <v>7</v>
      </c>
      <c r="B134" s="310" t="s">
        <v>124</v>
      </c>
      <c r="C134" s="3" t="s">
        <v>117</v>
      </c>
      <c r="D134" s="6">
        <v>0.25</v>
      </c>
      <c r="E134" s="4"/>
    </row>
    <row r="135" spans="1:5" ht="14.1" hidden="1" customHeight="1">
      <c r="A135" s="311">
        <v>8</v>
      </c>
      <c r="B135" s="310" t="s">
        <v>125</v>
      </c>
      <c r="C135" s="3" t="s">
        <v>106</v>
      </c>
      <c r="D135" s="6">
        <v>0.25</v>
      </c>
      <c r="E135" s="4"/>
    </row>
    <row r="136" spans="1:5" ht="14.1" hidden="1" customHeight="1">
      <c r="A136" s="311">
        <v>9</v>
      </c>
      <c r="B136" s="310" t="s">
        <v>126</v>
      </c>
      <c r="C136" s="3" t="s">
        <v>117</v>
      </c>
      <c r="D136" s="6">
        <v>0.2</v>
      </c>
      <c r="E136" s="4"/>
    </row>
    <row r="137" spans="1:5" ht="14.1" customHeight="1">
      <c r="A137" s="311">
        <v>5</v>
      </c>
      <c r="B137" s="310" t="s">
        <v>127</v>
      </c>
      <c r="C137" s="3" t="s">
        <v>23</v>
      </c>
      <c r="D137" s="6">
        <v>0.27</v>
      </c>
      <c r="E137" s="4"/>
    </row>
    <row r="138" spans="1:5" ht="14.1" hidden="1" customHeight="1">
      <c r="A138" s="311">
        <v>11</v>
      </c>
      <c r="B138" s="310" t="s">
        <v>128</v>
      </c>
      <c r="C138" s="3" t="s">
        <v>106</v>
      </c>
      <c r="D138" s="6">
        <v>0.27</v>
      </c>
      <c r="E138" s="4"/>
    </row>
    <row r="139" spans="1:5" ht="14.1" customHeight="1">
      <c r="A139" s="311">
        <v>6</v>
      </c>
      <c r="B139" s="310" t="s">
        <v>129</v>
      </c>
      <c r="C139" s="3" t="s">
        <v>23</v>
      </c>
      <c r="D139" s="6">
        <v>0.3</v>
      </c>
      <c r="E139" s="4"/>
    </row>
    <row r="140" spans="1:5" ht="14.1" customHeight="1">
      <c r="A140" s="311">
        <v>7</v>
      </c>
      <c r="B140" s="310" t="s">
        <v>130</v>
      </c>
      <c r="C140" s="3" t="s">
        <v>23</v>
      </c>
      <c r="D140" s="6">
        <v>0.27</v>
      </c>
      <c r="E140" s="4"/>
    </row>
    <row r="141" spans="1:5" ht="14.1" customHeight="1">
      <c r="A141" s="311">
        <v>8</v>
      </c>
      <c r="B141" s="310" t="s">
        <v>131</v>
      </c>
      <c r="C141" s="3" t="s">
        <v>29</v>
      </c>
      <c r="D141" s="6">
        <v>0.27</v>
      </c>
      <c r="E141" s="4"/>
    </row>
    <row r="142" spans="1:5" ht="14.1" customHeight="1">
      <c r="A142" s="354">
        <v>9</v>
      </c>
      <c r="B142" s="355" t="s">
        <v>132</v>
      </c>
      <c r="C142" s="3" t="s">
        <v>29</v>
      </c>
      <c r="D142" s="6">
        <v>0.3</v>
      </c>
      <c r="E142" s="4"/>
    </row>
    <row r="143" spans="1:5" ht="14.1" hidden="1" customHeight="1">
      <c r="A143" s="354"/>
      <c r="B143" s="355"/>
      <c r="C143" s="3" t="s">
        <v>99</v>
      </c>
      <c r="D143" s="6" t="s">
        <v>97</v>
      </c>
      <c r="E143" s="4"/>
    </row>
    <row r="144" spans="1:5" ht="14.1" customHeight="1">
      <c r="A144" s="354">
        <v>10</v>
      </c>
      <c r="B144" s="355" t="s">
        <v>133</v>
      </c>
      <c r="C144" s="3" t="s">
        <v>57</v>
      </c>
      <c r="D144" s="6">
        <v>0.3</v>
      </c>
      <c r="E144" s="4"/>
    </row>
    <row r="145" spans="1:5" ht="14.1" customHeight="1">
      <c r="A145" s="354"/>
      <c r="B145" s="355"/>
      <c r="C145" s="3" t="s">
        <v>23</v>
      </c>
      <c r="D145" s="6">
        <v>0.3</v>
      </c>
      <c r="E145" s="4"/>
    </row>
    <row r="146" spans="1:5" ht="14.1" customHeight="1">
      <c r="A146" s="354"/>
      <c r="B146" s="355"/>
      <c r="C146" s="3" t="s">
        <v>106</v>
      </c>
      <c r="D146" s="6">
        <v>0.2</v>
      </c>
      <c r="E146" s="4"/>
    </row>
    <row r="147" spans="1:5" ht="14.1" customHeight="1">
      <c r="A147" s="354">
        <v>11</v>
      </c>
      <c r="B147" s="355" t="s">
        <v>134</v>
      </c>
      <c r="C147" s="3" t="s">
        <v>57</v>
      </c>
      <c r="D147" s="6">
        <v>0.35</v>
      </c>
      <c r="E147" s="4"/>
    </row>
    <row r="148" spans="1:5" ht="14.1" customHeight="1">
      <c r="A148" s="354"/>
      <c r="B148" s="355"/>
      <c r="C148" s="3" t="s">
        <v>44</v>
      </c>
      <c r="D148" s="6">
        <v>0.4</v>
      </c>
      <c r="E148" s="4"/>
    </row>
    <row r="149" spans="1:5" ht="14.1" customHeight="1">
      <c r="A149" s="354"/>
      <c r="B149" s="355"/>
      <c r="C149" s="3" t="s">
        <v>23</v>
      </c>
      <c r="D149" s="6">
        <v>0.4</v>
      </c>
      <c r="E149" s="4"/>
    </row>
    <row r="150" spans="1:5" ht="14.1" customHeight="1">
      <c r="A150" s="354"/>
      <c r="B150" s="355"/>
      <c r="C150" s="3" t="s">
        <v>109</v>
      </c>
      <c r="D150" s="6">
        <v>0.45</v>
      </c>
      <c r="E150" s="4"/>
    </row>
    <row r="151" spans="1:5" ht="14.1" hidden="1" customHeight="1">
      <c r="A151" s="311">
        <v>18</v>
      </c>
      <c r="B151" s="310" t="s">
        <v>135</v>
      </c>
      <c r="C151" s="3" t="s">
        <v>117</v>
      </c>
      <c r="D151" s="6" t="s">
        <v>97</v>
      </c>
      <c r="E151" s="4"/>
    </row>
    <row r="152" spans="1:5" ht="14.1" hidden="1" customHeight="1">
      <c r="A152" s="311">
        <v>19</v>
      </c>
      <c r="B152" s="310" t="s">
        <v>136</v>
      </c>
      <c r="C152" s="3" t="s">
        <v>117</v>
      </c>
      <c r="D152" s="6" t="s">
        <v>97</v>
      </c>
      <c r="E152" s="4"/>
    </row>
    <row r="153" spans="1:5" ht="14.1" hidden="1" customHeight="1">
      <c r="A153" s="311">
        <v>20</v>
      </c>
      <c r="B153" s="310" t="s">
        <v>137</v>
      </c>
      <c r="C153" s="3" t="s">
        <v>117</v>
      </c>
      <c r="D153" s="6" t="s">
        <v>97</v>
      </c>
      <c r="E153" s="4"/>
    </row>
    <row r="154" spans="1:5" ht="14.1" hidden="1" customHeight="1">
      <c r="A154" s="311">
        <v>21</v>
      </c>
      <c r="B154" s="310" t="s">
        <v>138</v>
      </c>
      <c r="C154" s="3" t="s">
        <v>117</v>
      </c>
      <c r="D154" s="6" t="s">
        <v>97</v>
      </c>
      <c r="E154" s="4"/>
    </row>
    <row r="155" spans="1:5" ht="14.1" customHeight="1">
      <c r="A155" s="311">
        <v>12</v>
      </c>
      <c r="B155" s="310" t="s">
        <v>139</v>
      </c>
      <c r="C155" s="3" t="s">
        <v>55</v>
      </c>
      <c r="D155" s="6">
        <v>0.2</v>
      </c>
      <c r="E155" s="4"/>
    </row>
    <row r="156" spans="1:5" ht="14.1" customHeight="1">
      <c r="A156" s="311">
        <v>13</v>
      </c>
      <c r="B156" s="310" t="s">
        <v>124</v>
      </c>
      <c r="C156" s="3" t="s">
        <v>117</v>
      </c>
      <c r="D156" s="6">
        <v>0.3</v>
      </c>
      <c r="E156" s="4"/>
    </row>
    <row r="157" spans="1:5" ht="14.1" customHeight="1">
      <c r="A157" s="311">
        <v>14</v>
      </c>
      <c r="B157" s="310" t="s">
        <v>124</v>
      </c>
      <c r="C157" s="3" t="s">
        <v>23</v>
      </c>
      <c r="D157" s="6">
        <v>0.3</v>
      </c>
      <c r="E157" s="4"/>
    </row>
    <row r="158" spans="1:5" ht="14.1" customHeight="1">
      <c r="A158" s="311"/>
      <c r="B158" s="310"/>
      <c r="C158" s="3"/>
      <c r="D158" s="6"/>
      <c r="E158" s="4"/>
    </row>
    <row r="159" spans="1:5" ht="14.1" customHeight="1">
      <c r="A159" s="7"/>
      <c r="B159" s="3"/>
      <c r="C159" s="3"/>
      <c r="D159" s="6"/>
      <c r="E159" s="4"/>
    </row>
    <row r="160" spans="1:5" ht="14.1" customHeight="1">
      <c r="A160" s="8" t="s">
        <v>140</v>
      </c>
      <c r="B160" s="9" t="s">
        <v>141</v>
      </c>
      <c r="C160" s="3"/>
      <c r="D160" s="6"/>
      <c r="E160" s="4"/>
    </row>
    <row r="161" spans="1:5" ht="14.1" customHeight="1">
      <c r="A161" s="15">
        <v>1</v>
      </c>
      <c r="B161" s="5" t="s">
        <v>142</v>
      </c>
      <c r="C161" s="3" t="s">
        <v>143</v>
      </c>
      <c r="D161" s="6">
        <v>1.3</v>
      </c>
      <c r="E161" s="4"/>
    </row>
    <row r="162" spans="1:5" ht="14.1" customHeight="1">
      <c r="A162" s="15">
        <v>2</v>
      </c>
      <c r="B162" s="5" t="s">
        <v>144</v>
      </c>
      <c r="C162" s="3" t="s">
        <v>145</v>
      </c>
      <c r="D162" s="6">
        <v>0.8</v>
      </c>
      <c r="E162" s="4"/>
    </row>
    <row r="163" spans="1:5" ht="14.1" customHeight="1">
      <c r="A163" s="15">
        <v>3</v>
      </c>
      <c r="B163" s="5" t="s">
        <v>146</v>
      </c>
      <c r="C163" s="3" t="s">
        <v>147</v>
      </c>
      <c r="D163" s="6">
        <v>1</v>
      </c>
      <c r="E163" s="4"/>
    </row>
    <row r="164" spans="1:5" ht="14.1" customHeight="1">
      <c r="A164" s="15">
        <v>4</v>
      </c>
      <c r="B164" s="5" t="s">
        <v>148</v>
      </c>
      <c r="C164" s="3" t="s">
        <v>145</v>
      </c>
      <c r="D164" s="6">
        <v>0.15</v>
      </c>
      <c r="E164" s="4"/>
    </row>
    <row r="165" spans="1:5" ht="14.1" customHeight="1">
      <c r="A165" s="15">
        <v>5</v>
      </c>
      <c r="B165" s="5" t="s">
        <v>275</v>
      </c>
      <c r="C165" s="3" t="s">
        <v>276</v>
      </c>
      <c r="D165" s="6">
        <v>0.28000000000000003</v>
      </c>
      <c r="E165" s="4"/>
    </row>
    <row r="166" spans="1:5" ht="14.1" customHeight="1">
      <c r="A166" s="15"/>
      <c r="B166" s="5"/>
      <c r="C166" s="3"/>
      <c r="D166" s="6"/>
      <c r="E166" s="4"/>
    </row>
    <row r="167" spans="1:5" ht="14.1" customHeight="1">
      <c r="A167" s="15"/>
      <c r="B167" s="5"/>
      <c r="C167" s="3"/>
      <c r="D167" s="6"/>
      <c r="E167" s="4"/>
    </row>
    <row r="168" spans="1:5" ht="14.1" customHeight="1">
      <c r="A168" s="10"/>
      <c r="B168" s="11"/>
      <c r="C168" s="12"/>
      <c r="D168" s="13"/>
      <c r="E168" s="12"/>
    </row>
    <row r="169" spans="1:5" ht="15">
      <c r="A169" s="356" t="s">
        <v>288</v>
      </c>
      <c r="B169" s="357"/>
      <c r="C169" s="357"/>
      <c r="D169" s="357"/>
      <c r="E169" s="358"/>
    </row>
    <row r="170" spans="1:5" ht="15">
      <c r="A170" s="359" t="s">
        <v>0</v>
      </c>
      <c r="B170" s="360"/>
      <c r="C170" s="360"/>
      <c r="D170" s="360"/>
      <c r="E170" s="361"/>
    </row>
    <row r="171" spans="1:5" ht="15.75" thickBot="1">
      <c r="A171" s="362" t="str">
        <f>A117</f>
        <v xml:space="preserve"> BULAN DESEMBER 2019</v>
      </c>
      <c r="B171" s="363"/>
      <c r="C171" s="363"/>
      <c r="D171" s="363"/>
      <c r="E171" s="364"/>
    </row>
    <row r="172" spans="1:5" ht="22.5" customHeight="1">
      <c r="A172" s="365" t="s">
        <v>1</v>
      </c>
      <c r="B172" s="365" t="s">
        <v>2</v>
      </c>
      <c r="C172" s="365" t="s">
        <v>3</v>
      </c>
      <c r="D172" s="365" t="s">
        <v>4</v>
      </c>
      <c r="E172" s="367" t="s">
        <v>272</v>
      </c>
    </row>
    <row r="173" spans="1:5" ht="22.5" customHeight="1" thickBot="1">
      <c r="A173" s="366"/>
      <c r="B173" s="366"/>
      <c r="C173" s="366"/>
      <c r="D173" s="366"/>
      <c r="E173" s="368"/>
    </row>
    <row r="174" spans="1:5" ht="14.1" customHeight="1">
      <c r="A174" s="289" t="s">
        <v>149</v>
      </c>
      <c r="B174" s="185" t="s">
        <v>150</v>
      </c>
      <c r="C174" s="181"/>
      <c r="D174" s="182"/>
      <c r="E174" s="181"/>
    </row>
    <row r="175" spans="1:5" ht="14.1" customHeight="1">
      <c r="A175" s="3">
        <v>1</v>
      </c>
      <c r="B175" s="16" t="s">
        <v>151</v>
      </c>
      <c r="C175" s="3" t="s">
        <v>113</v>
      </c>
      <c r="D175" s="6">
        <v>3.1</v>
      </c>
      <c r="E175" s="3"/>
    </row>
    <row r="176" spans="1:5" ht="14.1" customHeight="1">
      <c r="A176" s="3">
        <v>2</v>
      </c>
      <c r="B176" s="16" t="s">
        <v>152</v>
      </c>
      <c r="C176" s="3" t="s">
        <v>44</v>
      </c>
      <c r="D176" s="6">
        <v>1.4</v>
      </c>
      <c r="E176" s="3"/>
    </row>
    <row r="177" spans="1:5" ht="14.1" customHeight="1">
      <c r="A177" s="3">
        <v>3</v>
      </c>
      <c r="B177" s="16" t="s">
        <v>277</v>
      </c>
      <c r="C177" s="3" t="s">
        <v>113</v>
      </c>
      <c r="D177" s="6">
        <v>1.6</v>
      </c>
      <c r="E177" s="3"/>
    </row>
    <row r="178" spans="1:5" ht="14.1" customHeight="1">
      <c r="A178" s="3">
        <v>4</v>
      </c>
      <c r="B178" s="16" t="s">
        <v>153</v>
      </c>
      <c r="C178" s="3" t="s">
        <v>113</v>
      </c>
      <c r="D178" s="6">
        <v>1.5</v>
      </c>
      <c r="E178" s="3"/>
    </row>
    <row r="179" spans="1:5" ht="14.1" customHeight="1">
      <c r="A179" s="3">
        <v>5</v>
      </c>
      <c r="B179" s="16" t="s">
        <v>153</v>
      </c>
      <c r="C179" s="3" t="s">
        <v>55</v>
      </c>
      <c r="D179" s="6">
        <v>0.85</v>
      </c>
      <c r="E179" s="3"/>
    </row>
    <row r="180" spans="1:5" ht="14.1" customHeight="1">
      <c r="A180" s="3">
        <v>6</v>
      </c>
      <c r="B180" s="16" t="s">
        <v>154</v>
      </c>
      <c r="C180" s="3" t="s">
        <v>113</v>
      </c>
      <c r="D180" s="6">
        <v>0.7</v>
      </c>
      <c r="E180" s="3"/>
    </row>
    <row r="181" spans="1:5" ht="14.1" customHeight="1">
      <c r="A181" s="3">
        <v>7</v>
      </c>
      <c r="B181" s="16" t="s">
        <v>155</v>
      </c>
      <c r="C181" s="3" t="s">
        <v>29</v>
      </c>
      <c r="D181" s="6">
        <v>0.5</v>
      </c>
      <c r="E181" s="3"/>
    </row>
    <row r="182" spans="1:5" ht="14.1" customHeight="1">
      <c r="A182" s="3">
        <v>8</v>
      </c>
      <c r="B182" s="16" t="s">
        <v>156</v>
      </c>
      <c r="C182" s="3" t="s">
        <v>29</v>
      </c>
      <c r="D182" s="6">
        <v>0.9</v>
      </c>
      <c r="E182" s="3"/>
    </row>
    <row r="183" spans="1:5" ht="14.1" customHeight="1">
      <c r="A183" s="3">
        <v>9</v>
      </c>
      <c r="B183" s="16" t="s">
        <v>157</v>
      </c>
      <c r="C183" s="3" t="s">
        <v>29</v>
      </c>
      <c r="D183" s="6">
        <v>1.6</v>
      </c>
      <c r="E183" s="3"/>
    </row>
    <row r="184" spans="1:5" ht="14.1" customHeight="1">
      <c r="A184" s="3">
        <v>10</v>
      </c>
      <c r="B184" s="16" t="s">
        <v>158</v>
      </c>
      <c r="C184" s="3" t="s">
        <v>29</v>
      </c>
      <c r="D184" s="6">
        <v>0.5</v>
      </c>
      <c r="E184" s="3"/>
    </row>
    <row r="185" spans="1:5" ht="14.1" customHeight="1">
      <c r="A185" s="3">
        <v>11</v>
      </c>
      <c r="B185" s="16" t="s">
        <v>158</v>
      </c>
      <c r="C185" s="3" t="s">
        <v>23</v>
      </c>
      <c r="D185" s="6">
        <v>0.5</v>
      </c>
      <c r="E185" s="3"/>
    </row>
    <row r="186" spans="1:5" ht="14.1" customHeight="1">
      <c r="A186" s="3">
        <v>12</v>
      </c>
      <c r="B186" s="16" t="s">
        <v>159</v>
      </c>
      <c r="C186" s="3" t="s">
        <v>29</v>
      </c>
      <c r="D186" s="6">
        <v>1</v>
      </c>
      <c r="E186" s="3"/>
    </row>
    <row r="187" spans="1:5" ht="14.1" customHeight="1">
      <c r="A187" s="3">
        <v>13</v>
      </c>
      <c r="B187" s="16" t="s">
        <v>160</v>
      </c>
      <c r="C187" s="3" t="s">
        <v>29</v>
      </c>
      <c r="D187" s="6">
        <v>2</v>
      </c>
      <c r="E187" s="3"/>
    </row>
    <row r="188" spans="1:5" ht="14.1" customHeight="1">
      <c r="A188" s="3">
        <v>14</v>
      </c>
      <c r="B188" s="16" t="s">
        <v>278</v>
      </c>
      <c r="C188" s="3" t="s">
        <v>23</v>
      </c>
      <c r="D188" s="6">
        <v>1.5</v>
      </c>
      <c r="E188" s="3"/>
    </row>
    <row r="189" spans="1:5" ht="14.1" customHeight="1">
      <c r="A189" s="3">
        <v>15</v>
      </c>
      <c r="B189" s="16" t="s">
        <v>161</v>
      </c>
      <c r="C189" s="3" t="s">
        <v>29</v>
      </c>
      <c r="D189" s="6">
        <v>1</v>
      </c>
      <c r="E189" s="3"/>
    </row>
    <row r="190" spans="1:5" ht="14.1" customHeight="1">
      <c r="A190" s="3">
        <v>16</v>
      </c>
      <c r="B190" s="16" t="s">
        <v>162</v>
      </c>
      <c r="C190" s="3" t="s">
        <v>29</v>
      </c>
      <c r="D190" s="6">
        <v>0.5</v>
      </c>
      <c r="E190" s="3"/>
    </row>
    <row r="191" spans="1:5" ht="14.1" customHeight="1">
      <c r="A191" s="3">
        <v>17</v>
      </c>
      <c r="B191" s="16" t="s">
        <v>163</v>
      </c>
      <c r="C191" s="3" t="s">
        <v>44</v>
      </c>
      <c r="D191" s="6">
        <v>5</v>
      </c>
      <c r="E191" s="3"/>
    </row>
    <row r="192" spans="1:5" ht="14.1" customHeight="1">
      <c r="A192" s="3"/>
      <c r="B192" s="16"/>
      <c r="C192" s="3"/>
      <c r="D192" s="6"/>
      <c r="E192" s="3"/>
    </row>
    <row r="193" spans="1:5" ht="14.1" customHeight="1">
      <c r="A193" s="288" t="s">
        <v>164</v>
      </c>
      <c r="B193" s="9" t="s">
        <v>165</v>
      </c>
      <c r="C193" s="3"/>
      <c r="D193" s="6"/>
      <c r="E193" s="3"/>
    </row>
    <row r="194" spans="1:5" ht="14.1" customHeight="1">
      <c r="A194" s="3">
        <v>1</v>
      </c>
      <c r="B194" s="16" t="s">
        <v>166</v>
      </c>
      <c r="C194" s="3" t="s">
        <v>55</v>
      </c>
      <c r="D194" s="6">
        <v>0.2</v>
      </c>
      <c r="E194" s="3"/>
    </row>
    <row r="195" spans="1:5" ht="14.1" customHeight="1">
      <c r="A195" s="350">
        <v>2</v>
      </c>
      <c r="B195" s="352" t="s">
        <v>167</v>
      </c>
      <c r="C195" s="3" t="s">
        <v>168</v>
      </c>
      <c r="D195" s="6">
        <v>0.3</v>
      </c>
      <c r="E195" s="3"/>
    </row>
    <row r="196" spans="1:5" ht="14.1" customHeight="1">
      <c r="A196" s="351"/>
      <c r="B196" s="353"/>
      <c r="C196" s="3" t="s">
        <v>169</v>
      </c>
      <c r="D196" s="6">
        <v>1.3</v>
      </c>
      <c r="E196" s="3"/>
    </row>
    <row r="197" spans="1:5" ht="14.1" customHeight="1">
      <c r="A197" s="3">
        <v>3</v>
      </c>
      <c r="B197" s="16" t="s">
        <v>170</v>
      </c>
      <c r="C197" s="3" t="s">
        <v>44</v>
      </c>
      <c r="D197" s="6">
        <v>1</v>
      </c>
      <c r="E197" s="3"/>
    </row>
    <row r="198" spans="1:5" ht="14.1" customHeight="1">
      <c r="A198" s="350">
        <v>4</v>
      </c>
      <c r="B198" s="352" t="s">
        <v>171</v>
      </c>
      <c r="C198" s="17" t="s">
        <v>29</v>
      </c>
      <c r="D198" s="6">
        <v>0.3</v>
      </c>
      <c r="E198" s="3"/>
    </row>
    <row r="199" spans="1:5" ht="14.1" customHeight="1">
      <c r="A199" s="351"/>
      <c r="B199" s="353"/>
      <c r="C199" s="17" t="s">
        <v>109</v>
      </c>
      <c r="D199" s="6">
        <v>0.2</v>
      </c>
      <c r="E199" s="3"/>
    </row>
    <row r="200" spans="1:5" ht="14.1" customHeight="1">
      <c r="A200" s="17">
        <v>5</v>
      </c>
      <c r="B200" s="18" t="s">
        <v>172</v>
      </c>
      <c r="C200" s="17" t="s">
        <v>44</v>
      </c>
      <c r="D200" s="6">
        <v>1.5</v>
      </c>
      <c r="E200" s="3"/>
    </row>
    <row r="201" spans="1:5" ht="14.1" customHeight="1">
      <c r="A201" s="17">
        <v>6</v>
      </c>
      <c r="B201" s="18" t="s">
        <v>173</v>
      </c>
      <c r="C201" s="17" t="s">
        <v>23</v>
      </c>
      <c r="D201" s="6">
        <v>0.25</v>
      </c>
      <c r="E201" s="3"/>
    </row>
    <row r="202" spans="1:5" ht="14.1" customHeight="1">
      <c r="A202" s="17">
        <v>7</v>
      </c>
      <c r="B202" s="18" t="s">
        <v>174</v>
      </c>
      <c r="C202" s="17" t="s">
        <v>23</v>
      </c>
      <c r="D202" s="6">
        <v>0.25</v>
      </c>
      <c r="E202" s="3"/>
    </row>
    <row r="203" spans="1:5" ht="14.1" customHeight="1">
      <c r="A203" s="17">
        <v>8</v>
      </c>
      <c r="B203" s="18" t="s">
        <v>175</v>
      </c>
      <c r="C203" s="17" t="s">
        <v>55</v>
      </c>
      <c r="D203" s="6">
        <v>0.25</v>
      </c>
      <c r="E203" s="3"/>
    </row>
    <row r="204" spans="1:5" ht="14.1" customHeight="1">
      <c r="A204" s="17">
        <v>9</v>
      </c>
      <c r="B204" s="18" t="s">
        <v>176</v>
      </c>
      <c r="C204" s="17" t="s">
        <v>29</v>
      </c>
      <c r="D204" s="6">
        <v>0.25</v>
      </c>
      <c r="E204" s="3"/>
    </row>
    <row r="205" spans="1:5" ht="14.1" customHeight="1">
      <c r="A205" s="17">
        <v>10</v>
      </c>
      <c r="B205" s="18" t="s">
        <v>177</v>
      </c>
      <c r="C205" s="17" t="s">
        <v>23</v>
      </c>
      <c r="D205" s="6">
        <v>0.3</v>
      </c>
      <c r="E205" s="3"/>
    </row>
    <row r="206" spans="1:5" ht="14.1" customHeight="1">
      <c r="A206" s="17">
        <v>11</v>
      </c>
      <c r="B206" s="18" t="s">
        <v>178</v>
      </c>
      <c r="C206" s="17" t="s">
        <v>29</v>
      </c>
      <c r="D206" s="6">
        <v>0.7</v>
      </c>
      <c r="E206" s="3"/>
    </row>
    <row r="207" spans="1:5" ht="14.1" customHeight="1">
      <c r="A207" s="17">
        <v>12</v>
      </c>
      <c r="B207" s="18" t="s">
        <v>179</v>
      </c>
      <c r="C207" s="17" t="s">
        <v>29</v>
      </c>
      <c r="D207" s="6">
        <v>0.7</v>
      </c>
      <c r="E207" s="3"/>
    </row>
    <row r="208" spans="1:5" ht="14.1" customHeight="1">
      <c r="A208" s="17"/>
      <c r="B208" s="18"/>
      <c r="C208" s="17"/>
      <c r="D208" s="6"/>
      <c r="E208" s="3"/>
    </row>
    <row r="209" spans="1:5" ht="14.1" customHeight="1">
      <c r="A209" s="290" t="s">
        <v>180</v>
      </c>
      <c r="B209" s="19" t="s">
        <v>181</v>
      </c>
      <c r="C209" s="17"/>
      <c r="D209" s="6"/>
      <c r="E209" s="3"/>
    </row>
    <row r="210" spans="1:5" ht="14.1" customHeight="1">
      <c r="A210" s="17">
        <v>1</v>
      </c>
      <c r="B210" s="18" t="s">
        <v>182</v>
      </c>
      <c r="C210" s="17" t="s">
        <v>57</v>
      </c>
      <c r="D210" s="6">
        <v>4.2</v>
      </c>
      <c r="E210" s="3"/>
    </row>
    <row r="211" spans="1:5" ht="14.1" customHeight="1">
      <c r="A211" s="17">
        <v>2</v>
      </c>
      <c r="B211" s="18" t="s">
        <v>183</v>
      </c>
      <c r="C211" s="17" t="s">
        <v>57</v>
      </c>
      <c r="D211" s="6">
        <v>3.4</v>
      </c>
      <c r="E211" s="3"/>
    </row>
    <row r="212" spans="1:5" ht="14.1" customHeight="1">
      <c r="A212" s="17">
        <v>3</v>
      </c>
      <c r="B212" s="18" t="s">
        <v>184</v>
      </c>
      <c r="C212" s="17" t="s">
        <v>44</v>
      </c>
      <c r="D212" s="6">
        <v>1.4</v>
      </c>
      <c r="E212" s="3"/>
    </row>
    <row r="213" spans="1:5" ht="14.1" customHeight="1">
      <c r="A213" s="17">
        <v>4</v>
      </c>
      <c r="B213" s="18" t="s">
        <v>185</v>
      </c>
      <c r="C213" s="17" t="s">
        <v>113</v>
      </c>
      <c r="D213" s="6">
        <v>4.4000000000000004</v>
      </c>
      <c r="E213" s="3"/>
    </row>
    <row r="214" spans="1:5" ht="14.1" customHeight="1">
      <c r="A214" s="17">
        <v>5</v>
      </c>
      <c r="B214" s="18" t="s">
        <v>186</v>
      </c>
      <c r="C214" s="17" t="s">
        <v>29</v>
      </c>
      <c r="D214" s="6">
        <v>1.4</v>
      </c>
      <c r="E214" s="3"/>
    </row>
    <row r="215" spans="1:5" ht="14.1" customHeight="1">
      <c r="A215" s="17">
        <v>6</v>
      </c>
      <c r="B215" s="18" t="s">
        <v>280</v>
      </c>
      <c r="C215" s="17" t="s">
        <v>29</v>
      </c>
      <c r="D215" s="6">
        <v>1.2</v>
      </c>
      <c r="E215" s="3"/>
    </row>
    <row r="216" spans="1:5" ht="14.1" customHeight="1">
      <c r="A216" s="17">
        <v>7</v>
      </c>
      <c r="B216" s="18" t="s">
        <v>279</v>
      </c>
      <c r="C216" s="17" t="s">
        <v>55</v>
      </c>
      <c r="D216" s="6">
        <v>0.7</v>
      </c>
      <c r="E216" s="3"/>
    </row>
    <row r="217" spans="1:5" ht="14.1" customHeight="1">
      <c r="A217" s="17">
        <v>8</v>
      </c>
      <c r="B217" s="18" t="s">
        <v>187</v>
      </c>
      <c r="C217" s="17" t="s">
        <v>57</v>
      </c>
      <c r="D217" s="6">
        <v>2</v>
      </c>
      <c r="E217" s="3"/>
    </row>
    <row r="218" spans="1:5" ht="14.1" customHeight="1">
      <c r="A218" s="17"/>
      <c r="B218" s="18"/>
      <c r="C218" s="17"/>
      <c r="D218" s="6"/>
      <c r="E218" s="3"/>
    </row>
    <row r="219" spans="1:5" ht="14.1" customHeight="1">
      <c r="A219" s="290" t="s">
        <v>188</v>
      </c>
      <c r="B219" s="19" t="s">
        <v>189</v>
      </c>
      <c r="C219" s="17"/>
      <c r="D219" s="6"/>
      <c r="E219" s="3"/>
    </row>
    <row r="220" spans="1:5" ht="14.1" customHeight="1">
      <c r="A220" s="17">
        <v>1</v>
      </c>
      <c r="B220" s="18" t="s">
        <v>190</v>
      </c>
      <c r="C220" s="17" t="s">
        <v>113</v>
      </c>
      <c r="D220" s="6">
        <v>0.2</v>
      </c>
      <c r="E220" s="3"/>
    </row>
    <row r="221" spans="1:5" ht="14.1" customHeight="1">
      <c r="A221" s="17">
        <v>2</v>
      </c>
      <c r="B221" s="18" t="s">
        <v>191</v>
      </c>
      <c r="C221" s="17" t="s">
        <v>117</v>
      </c>
      <c r="D221" s="6">
        <v>1.9</v>
      </c>
      <c r="E221" s="3"/>
    </row>
    <row r="222" spans="1:5" ht="14.1" customHeight="1">
      <c r="A222" s="17">
        <v>3</v>
      </c>
      <c r="B222" s="18" t="s">
        <v>192</v>
      </c>
      <c r="C222" s="17" t="s">
        <v>117</v>
      </c>
      <c r="D222" s="6">
        <v>0.3</v>
      </c>
      <c r="E222" s="3"/>
    </row>
    <row r="223" spans="1:5" ht="14.1" customHeight="1">
      <c r="A223" s="17">
        <v>4</v>
      </c>
      <c r="B223" s="18" t="s">
        <v>193</v>
      </c>
      <c r="C223" s="17" t="s">
        <v>117</v>
      </c>
      <c r="D223" s="6">
        <v>0.2</v>
      </c>
      <c r="E223" s="3"/>
    </row>
    <row r="224" spans="1:5" ht="14.1" customHeight="1">
      <c r="A224" s="3">
        <v>5</v>
      </c>
      <c r="B224" s="16" t="s">
        <v>194</v>
      </c>
      <c r="C224" s="3" t="s">
        <v>117</v>
      </c>
      <c r="D224" s="6">
        <v>0.4</v>
      </c>
      <c r="E224" s="3"/>
    </row>
    <row r="225" spans="1:5" ht="14.1" customHeight="1">
      <c r="A225" s="7"/>
      <c r="B225" s="3"/>
      <c r="C225" s="3" t="s">
        <v>195</v>
      </c>
      <c r="D225" s="6"/>
      <c r="E225" s="4"/>
    </row>
    <row r="226" spans="1:5">
      <c r="E226" s="12"/>
    </row>
  </sheetData>
  <mergeCells count="61">
    <mergeCell ref="A1:E1"/>
    <mergeCell ref="A3:E3"/>
    <mergeCell ref="A4:A5"/>
    <mergeCell ref="B4:B5"/>
    <mergeCell ref="C4:C5"/>
    <mergeCell ref="E4:E5"/>
    <mergeCell ref="A2:E2"/>
    <mergeCell ref="E62:E63"/>
    <mergeCell ref="A61:E61"/>
    <mergeCell ref="A14:A19"/>
    <mergeCell ref="B14:B19"/>
    <mergeCell ref="D4:D5"/>
    <mergeCell ref="A20:A22"/>
    <mergeCell ref="B20:B22"/>
    <mergeCell ref="A8:A13"/>
    <mergeCell ref="B8:B13"/>
    <mergeCell ref="A81:A82"/>
    <mergeCell ref="B81:B82"/>
    <mergeCell ref="A74:A75"/>
    <mergeCell ref="B74:B75"/>
    <mergeCell ref="A59:E59"/>
    <mergeCell ref="A60:E60"/>
    <mergeCell ref="A62:A63"/>
    <mergeCell ref="B62:B63"/>
    <mergeCell ref="C62:C63"/>
    <mergeCell ref="D62:D63"/>
    <mergeCell ref="A118:A119"/>
    <mergeCell ref="B118:B119"/>
    <mergeCell ref="A116:E116"/>
    <mergeCell ref="A122:A123"/>
    <mergeCell ref="C118:C119"/>
    <mergeCell ref="D118:D119"/>
    <mergeCell ref="E118:E119"/>
    <mergeCell ref="A127:A128"/>
    <mergeCell ref="A130:A131"/>
    <mergeCell ref="A132:A133"/>
    <mergeCell ref="B132:B133"/>
    <mergeCell ref="A88:A89"/>
    <mergeCell ref="A115:E115"/>
    <mergeCell ref="B122:B123"/>
    <mergeCell ref="A124:A126"/>
    <mergeCell ref="B124:B126"/>
    <mergeCell ref="A117:E117"/>
    <mergeCell ref="B172:B173"/>
    <mergeCell ref="C172:C173"/>
    <mergeCell ref="D172:D173"/>
    <mergeCell ref="E172:E173"/>
    <mergeCell ref="A142:A143"/>
    <mergeCell ref="B142:B143"/>
    <mergeCell ref="A144:A146"/>
    <mergeCell ref="B144:B146"/>
    <mergeCell ref="A198:A199"/>
    <mergeCell ref="B198:B199"/>
    <mergeCell ref="A147:A150"/>
    <mergeCell ref="B147:B150"/>
    <mergeCell ref="A195:A196"/>
    <mergeCell ref="B195:B196"/>
    <mergeCell ref="A169:E169"/>
    <mergeCell ref="A170:E170"/>
    <mergeCell ref="A171:E171"/>
    <mergeCell ref="A172:A173"/>
  </mergeCells>
  <phoneticPr fontId="32" type="noConversion"/>
  <printOptions horizontalCentered="1"/>
  <pageMargins left="0.59055118110236227" right="0.31496062992125984" top="0.62992125984251968" bottom="0.11811023622047245" header="0.51181102362204722" footer="0.51181102362204722"/>
  <pageSetup paperSize="256" scale="95" firstPageNumber="4294963191" fitToHeight="4" orientation="portrait" horizontalDpi="4294967293" verticalDpi="4294967293" copies="11" r:id="rId1"/>
  <headerFooter alignWithMargins="0"/>
  <rowBreaks count="3" manualBreakCount="3">
    <brk id="58" max="4" man="1"/>
    <brk id="114" max="4" man="1"/>
    <brk id="168" max="4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enableFormatConditionsCalculation="0">
    <tabColor indexed="10"/>
  </sheetPr>
  <dimension ref="A1:AO318"/>
  <sheetViews>
    <sheetView showGridLines="0" view="pageBreakPreview" zoomScale="85" zoomScaleSheetLayoutView="85" workbookViewId="0">
      <selection activeCell="A85" sqref="A85:G160"/>
    </sheetView>
  </sheetViews>
  <sheetFormatPr defaultRowHeight="12.75"/>
  <cols>
    <col min="1" max="1" width="10.85546875" style="20" customWidth="1"/>
    <col min="2" max="2" width="9.7109375" style="20" customWidth="1"/>
    <col min="3" max="3" width="9.42578125" style="20" bestFit="1" customWidth="1"/>
    <col min="4" max="4" width="12.28515625" style="20" customWidth="1"/>
    <col min="5" max="5" width="12.140625" style="20" customWidth="1"/>
    <col min="6" max="6" width="12.7109375" style="20" customWidth="1"/>
    <col min="7" max="7" width="27.5703125" style="20" customWidth="1"/>
    <col min="8" max="10" width="9.140625" style="20" bestFit="1"/>
    <col min="11" max="11" width="18.5703125" style="20" bestFit="1" customWidth="1"/>
    <col min="12" max="12" width="9.140625" style="20" bestFit="1"/>
    <col min="13" max="39" width="9.140625" style="20"/>
    <col min="40" max="40" width="11.7109375" style="20" customWidth="1"/>
    <col min="41" max="16384" width="9.140625" style="20"/>
  </cols>
  <sheetData>
    <row r="1" spans="1:17" ht="23.25" customHeight="1">
      <c r="A1" s="387" t="s">
        <v>196</v>
      </c>
      <c r="B1" s="387"/>
      <c r="C1" s="387"/>
      <c r="D1" s="387"/>
      <c r="E1" s="387"/>
      <c r="F1" s="387"/>
      <c r="G1" s="387"/>
    </row>
    <row r="2" spans="1:17" ht="15.75">
      <c r="A2" s="391" t="str">
        <f>TEK.Trans.Zona1!A2:AQ2</f>
        <v xml:space="preserve"> BULAN DESEMBER 2019</v>
      </c>
      <c r="B2" s="392"/>
      <c r="C2" s="392"/>
      <c r="D2" s="392"/>
      <c r="E2" s="392"/>
      <c r="F2" s="392"/>
      <c r="G2" s="392"/>
    </row>
    <row r="3" spans="1:17" ht="8.25" customHeight="1">
      <c r="A3" s="387"/>
      <c r="B3" s="387"/>
      <c r="C3" s="387"/>
      <c r="D3" s="387"/>
      <c r="E3" s="387"/>
      <c r="F3" s="387"/>
      <c r="G3" s="387"/>
    </row>
    <row r="4" spans="1:17">
      <c r="A4" s="379" t="s">
        <v>1</v>
      </c>
      <c r="B4" s="381" t="s">
        <v>197</v>
      </c>
      <c r="C4" s="383" t="s">
        <v>198</v>
      </c>
      <c r="D4" s="385" t="s">
        <v>199</v>
      </c>
      <c r="E4" s="376" t="s">
        <v>200</v>
      </c>
      <c r="F4" s="376"/>
      <c r="G4" s="377" t="s">
        <v>201</v>
      </c>
      <c r="J4" s="22">
        <v>1</v>
      </c>
      <c r="K4" s="23" t="s">
        <v>202</v>
      </c>
      <c r="L4" s="24">
        <f>A19</f>
        <v>43138</v>
      </c>
      <c r="M4" s="25">
        <f>TEK.Trans.Zona1!AW44</f>
        <v>43830</v>
      </c>
      <c r="N4" s="25">
        <f>M4-L4</f>
        <v>692</v>
      </c>
    </row>
    <row r="5" spans="1:17">
      <c r="A5" s="380"/>
      <c r="B5" s="382"/>
      <c r="C5" s="384"/>
      <c r="D5" s="386"/>
      <c r="E5" s="26" t="s">
        <v>203</v>
      </c>
      <c r="F5" s="26" t="s">
        <v>204</v>
      </c>
      <c r="G5" s="378"/>
      <c r="J5" s="22"/>
      <c r="K5" s="23"/>
      <c r="L5" s="24"/>
      <c r="M5" s="25"/>
      <c r="N5" s="25"/>
    </row>
    <row r="6" spans="1:17" ht="11.1" customHeight="1">
      <c r="A6" s="27" t="s">
        <v>6</v>
      </c>
      <c r="B6" s="388" t="s">
        <v>202</v>
      </c>
      <c r="C6" s="389"/>
      <c r="D6" s="28"/>
      <c r="E6" s="29"/>
      <c r="F6" s="30"/>
      <c r="G6" s="31"/>
      <c r="J6" s="22">
        <v>2</v>
      </c>
      <c r="K6" s="32" t="s">
        <v>205</v>
      </c>
      <c r="L6" s="24">
        <f>A47</f>
        <v>40643</v>
      </c>
      <c r="M6" s="25">
        <f>TEK.Trans.Zona1!AW46</f>
        <v>40885</v>
      </c>
      <c r="N6" s="25">
        <f>M6-L6</f>
        <v>242</v>
      </c>
    </row>
    <row r="7" spans="1:17" ht="11.1" customHeight="1">
      <c r="A7" s="33"/>
      <c r="B7" s="34" t="s">
        <v>206</v>
      </c>
      <c r="C7" s="35">
        <v>1</v>
      </c>
      <c r="D7" s="36">
        <f>TEK.Trans.Zona1!$C$44</f>
        <v>1469</v>
      </c>
      <c r="E7" s="37"/>
      <c r="F7" s="30" t="s">
        <v>207</v>
      </c>
      <c r="G7" s="31"/>
      <c r="J7" s="22"/>
      <c r="K7" s="23"/>
      <c r="L7" s="24"/>
      <c r="M7" s="25"/>
      <c r="N7" s="25"/>
    </row>
    <row r="8" spans="1:17" ht="11.1" customHeight="1">
      <c r="A8" s="33"/>
      <c r="B8" s="34" t="s">
        <v>206</v>
      </c>
      <c r="C8" s="35">
        <v>2</v>
      </c>
      <c r="D8" s="36">
        <f>TEK.Trans.Zona1!$D$44</f>
        <v>1205</v>
      </c>
      <c r="E8" s="37"/>
      <c r="F8" s="30" t="s">
        <v>207</v>
      </c>
      <c r="G8" s="31"/>
      <c r="I8" s="38"/>
      <c r="J8" s="22">
        <v>3</v>
      </c>
      <c r="K8" s="32" t="s">
        <v>208</v>
      </c>
      <c r="L8" s="24">
        <f>A69</f>
        <v>46412</v>
      </c>
      <c r="M8" s="25">
        <f>TEK.Trans.Zona1!AW48</f>
        <v>46415</v>
      </c>
      <c r="N8" s="25">
        <f>M8-L8</f>
        <v>3</v>
      </c>
    </row>
    <row r="9" spans="1:17" ht="11.1" customHeight="1">
      <c r="A9" s="33"/>
      <c r="B9" s="34" t="s">
        <v>206</v>
      </c>
      <c r="C9" s="35">
        <v>3</v>
      </c>
      <c r="D9" s="36">
        <f>TEK.Trans.Zona1!$E$44</f>
        <v>1028</v>
      </c>
      <c r="E9" s="37"/>
      <c r="F9" s="30" t="s">
        <v>207</v>
      </c>
      <c r="G9" s="31"/>
      <c r="I9" s="38"/>
      <c r="J9" s="22"/>
      <c r="K9" s="23"/>
      <c r="L9" s="24"/>
      <c r="M9" s="25"/>
      <c r="N9" s="25"/>
      <c r="Q9" s="20">
        <v>5000</v>
      </c>
    </row>
    <row r="10" spans="1:17" ht="11.1" customHeight="1">
      <c r="A10" s="33"/>
      <c r="B10" s="34" t="s">
        <v>206</v>
      </c>
      <c r="C10" s="35">
        <v>4</v>
      </c>
      <c r="D10" s="36">
        <f>TEK.Trans.Zona1!$F$44</f>
        <v>1540</v>
      </c>
      <c r="E10" s="29"/>
      <c r="F10" s="30" t="s">
        <v>207</v>
      </c>
      <c r="G10" s="31"/>
      <c r="I10" s="38"/>
      <c r="J10" s="22">
        <v>4</v>
      </c>
      <c r="K10" s="32" t="s">
        <v>209</v>
      </c>
      <c r="L10" s="24">
        <f>A98</f>
        <v>32438</v>
      </c>
      <c r="M10" s="25">
        <f>TEK.Trans.Zona1!AW50</f>
        <v>32928</v>
      </c>
      <c r="N10" s="25">
        <f>M10-L10</f>
        <v>490</v>
      </c>
      <c r="Q10" s="20">
        <v>30</v>
      </c>
    </row>
    <row r="11" spans="1:17" ht="11.1" customHeight="1">
      <c r="A11" s="33"/>
      <c r="B11" s="34" t="s">
        <v>206</v>
      </c>
      <c r="C11" s="35">
        <v>5</v>
      </c>
      <c r="D11" s="36">
        <f>TEK.Trans.Zona1!$G$44</f>
        <v>1572</v>
      </c>
      <c r="E11" s="29"/>
      <c r="F11" s="30" t="s">
        <v>207</v>
      </c>
      <c r="G11" s="31"/>
      <c r="I11" s="38"/>
      <c r="J11" s="22"/>
      <c r="K11" s="23"/>
      <c r="L11" s="24"/>
      <c r="M11" s="25"/>
      <c r="N11" s="25"/>
      <c r="Q11" s="20">
        <v>24</v>
      </c>
    </row>
    <row r="12" spans="1:17" ht="11.1" customHeight="1">
      <c r="A12" s="33"/>
      <c r="B12" s="34" t="s">
        <v>206</v>
      </c>
      <c r="C12" s="35">
        <v>6</v>
      </c>
      <c r="D12" s="36">
        <f>TEK.Trans.Zona1!$H$44</f>
        <v>2418</v>
      </c>
      <c r="E12" s="29"/>
      <c r="F12" s="30" t="s">
        <v>207</v>
      </c>
      <c r="G12" s="31"/>
      <c r="I12" s="38"/>
      <c r="J12" s="22">
        <v>5</v>
      </c>
      <c r="K12" s="32" t="s">
        <v>210</v>
      </c>
      <c r="L12" s="24">
        <f>A116</f>
        <v>1014</v>
      </c>
      <c r="M12" s="25">
        <f>TEK.Trans.Zona1!AW52</f>
        <v>1014</v>
      </c>
      <c r="N12" s="25">
        <f>M12-L12</f>
        <v>0</v>
      </c>
      <c r="Q12" s="20">
        <v>60</v>
      </c>
    </row>
    <row r="13" spans="1:17" ht="11.1" customHeight="1">
      <c r="A13" s="33"/>
      <c r="B13" s="34" t="s">
        <v>206</v>
      </c>
      <c r="C13" s="35">
        <v>7</v>
      </c>
      <c r="D13" s="36">
        <f>TEK.Trans.Zona1!I44</f>
        <v>1399</v>
      </c>
      <c r="E13" s="37"/>
      <c r="F13" s="30" t="s">
        <v>207</v>
      </c>
      <c r="G13" s="31"/>
      <c r="I13" s="38"/>
      <c r="J13" s="22"/>
      <c r="K13" s="23"/>
      <c r="L13" s="24"/>
      <c r="M13" s="25"/>
      <c r="N13" s="25"/>
      <c r="Q13" s="20">
        <v>60</v>
      </c>
    </row>
    <row r="14" spans="1:17" ht="11.1" customHeight="1">
      <c r="A14" s="33"/>
      <c r="B14" s="34" t="s">
        <v>206</v>
      </c>
      <c r="C14" s="35">
        <v>11</v>
      </c>
      <c r="D14" s="36">
        <f>TEK.Trans.Zona1!$M$44</f>
        <v>1889</v>
      </c>
      <c r="E14" s="29"/>
      <c r="F14" s="30" t="s">
        <v>207</v>
      </c>
      <c r="G14" s="31"/>
      <c r="I14" s="38"/>
      <c r="J14" s="22">
        <v>6</v>
      </c>
      <c r="K14" s="32" t="s">
        <v>211</v>
      </c>
      <c r="L14" s="24">
        <f>A132</f>
        <v>7458</v>
      </c>
      <c r="M14" s="25">
        <f>TEK.Trans.Zona1!AW54</f>
        <v>7466</v>
      </c>
      <c r="N14" s="25">
        <f>M14-L14</f>
        <v>8</v>
      </c>
      <c r="Q14" s="20">
        <f>+Q13*Q12*Q11*Q10</f>
        <v>2592000</v>
      </c>
    </row>
    <row r="15" spans="1:17" ht="11.1" customHeight="1">
      <c r="A15" s="33"/>
      <c r="B15" s="34" t="s">
        <v>206</v>
      </c>
      <c r="C15" s="35">
        <v>12</v>
      </c>
      <c r="D15" s="36">
        <f>TEK.Trans.Zona1!$N$44</f>
        <v>2185</v>
      </c>
      <c r="E15" s="37"/>
      <c r="F15" s="30" t="s">
        <v>207</v>
      </c>
      <c r="G15" s="31"/>
      <c r="I15" s="38"/>
      <c r="J15" s="22"/>
      <c r="K15" s="23"/>
      <c r="L15" s="24"/>
      <c r="M15" s="25"/>
      <c r="N15" s="25"/>
      <c r="Q15" s="20">
        <f>Q9/Q14</f>
        <v>1.9290123456790122E-3</v>
      </c>
    </row>
    <row r="16" spans="1:17" ht="11.1" customHeight="1">
      <c r="A16" s="33"/>
      <c r="B16" s="34" t="s">
        <v>206</v>
      </c>
      <c r="C16" s="35">
        <v>13</v>
      </c>
      <c r="D16" s="36">
        <f>TEK.Trans.Zona1!$O$44</f>
        <v>1741</v>
      </c>
      <c r="E16" s="37" t="s">
        <v>207</v>
      </c>
      <c r="F16" s="34"/>
      <c r="G16" s="31"/>
      <c r="I16" s="38"/>
      <c r="J16" s="22">
        <v>7</v>
      </c>
      <c r="K16" s="32" t="s">
        <v>212</v>
      </c>
      <c r="L16" s="24">
        <f>A151</f>
        <v>36450</v>
      </c>
      <c r="M16" s="25">
        <f>TEK.Trans.Zona1!AW56</f>
        <v>36888</v>
      </c>
      <c r="N16" s="25">
        <f>M16-L16</f>
        <v>438</v>
      </c>
      <c r="Q16" s="20">
        <f>Q15*1000</f>
        <v>1.9290123456790123</v>
      </c>
    </row>
    <row r="17" spans="1:41" ht="11.1" customHeight="1">
      <c r="A17" s="33"/>
      <c r="B17" s="34" t="s">
        <v>206</v>
      </c>
      <c r="C17" s="35">
        <v>14</v>
      </c>
      <c r="D17" s="36">
        <f>TEK.Trans.Zona1!$P$44</f>
        <v>2900</v>
      </c>
      <c r="E17" s="37" t="s">
        <v>207</v>
      </c>
      <c r="F17" s="34"/>
      <c r="G17" s="31"/>
      <c r="I17" s="38"/>
      <c r="J17" s="22"/>
      <c r="K17" s="23"/>
      <c r="L17" s="24"/>
      <c r="M17" s="25"/>
      <c r="N17" s="25"/>
      <c r="Q17" s="20">
        <f>Q16*1.3</f>
        <v>2.507716049382716</v>
      </c>
      <c r="AO17" s="20" t="s">
        <v>228</v>
      </c>
    </row>
    <row r="18" spans="1:41" ht="11.1" customHeight="1">
      <c r="A18" s="33"/>
      <c r="B18" s="34" t="s">
        <v>206</v>
      </c>
      <c r="C18" s="35">
        <v>16</v>
      </c>
      <c r="D18" s="36">
        <f>TEK.Trans.Zona1!$R$44</f>
        <v>3406</v>
      </c>
      <c r="E18" s="37" t="s">
        <v>207</v>
      </c>
      <c r="F18" s="34"/>
      <c r="G18" s="31"/>
      <c r="I18" s="38"/>
      <c r="J18" s="22">
        <v>8</v>
      </c>
      <c r="K18" s="32" t="s">
        <v>213</v>
      </c>
      <c r="L18" s="24">
        <f>A179</f>
        <v>53870</v>
      </c>
      <c r="M18" s="25">
        <f>TEK.Trans.Zona1!AW58</f>
        <v>54339</v>
      </c>
      <c r="N18" s="25">
        <f>M18-L18</f>
        <v>469</v>
      </c>
    </row>
    <row r="19" spans="1:41" ht="11.1" customHeight="1">
      <c r="A19" s="39">
        <f>SUM(D7:D32)</f>
        <v>43138</v>
      </c>
      <c r="B19" s="34" t="s">
        <v>206</v>
      </c>
      <c r="C19" s="35">
        <v>17</v>
      </c>
      <c r="D19" s="36">
        <f>TEK.Trans.Zona1!$S$44</f>
        <v>2181</v>
      </c>
      <c r="E19" s="37" t="s">
        <v>207</v>
      </c>
      <c r="F19" s="34"/>
      <c r="G19" s="31"/>
      <c r="I19" s="38"/>
      <c r="J19" s="22"/>
      <c r="K19" s="23"/>
      <c r="L19" s="24"/>
      <c r="M19" s="25"/>
      <c r="N19" s="25"/>
    </row>
    <row r="20" spans="1:41" ht="11.1" customHeight="1">
      <c r="A20" s="33"/>
      <c r="B20" s="34" t="s">
        <v>206</v>
      </c>
      <c r="C20" s="35">
        <v>18</v>
      </c>
      <c r="D20" s="36">
        <f>TEK.Trans.Zona1!$T$44</f>
        <v>1502</v>
      </c>
      <c r="E20" s="37" t="s">
        <v>207</v>
      </c>
      <c r="F20" s="34"/>
      <c r="G20" s="31"/>
      <c r="I20" s="38"/>
      <c r="J20" s="22">
        <v>9</v>
      </c>
      <c r="K20" s="32" t="s">
        <v>214</v>
      </c>
      <c r="L20" s="24">
        <f>A202</f>
        <v>27581</v>
      </c>
      <c r="M20" s="25">
        <f>TEK.Trans.Zona1!AW60</f>
        <v>27934</v>
      </c>
      <c r="N20" s="25">
        <f>M20-L20</f>
        <v>353</v>
      </c>
    </row>
    <row r="21" spans="1:41" ht="11.1" customHeight="1">
      <c r="A21" s="33"/>
      <c r="B21" s="34" t="s">
        <v>206</v>
      </c>
      <c r="C21" s="35">
        <v>19</v>
      </c>
      <c r="D21" s="36">
        <f>TEK.Trans.Zona1!$U$44</f>
        <v>947</v>
      </c>
      <c r="E21" s="37" t="s">
        <v>207</v>
      </c>
      <c r="F21" s="34"/>
      <c r="G21" s="31"/>
      <c r="I21" s="38"/>
      <c r="J21" s="22"/>
      <c r="K21" s="23"/>
      <c r="L21" s="24"/>
      <c r="M21" s="25"/>
      <c r="N21" s="25"/>
      <c r="AO21" s="20" t="s">
        <v>282</v>
      </c>
    </row>
    <row r="22" spans="1:41" ht="11.1" customHeight="1">
      <c r="A22" s="33"/>
      <c r="B22" s="34" t="s">
        <v>206</v>
      </c>
      <c r="C22" s="35">
        <v>20</v>
      </c>
      <c r="D22" s="36">
        <f>TEK.Trans.Zona1!$V$44</f>
        <v>1099</v>
      </c>
      <c r="E22" s="37" t="s">
        <v>207</v>
      </c>
      <c r="F22" s="34"/>
      <c r="G22" s="31"/>
      <c r="I22" s="38"/>
      <c r="J22" s="22">
        <v>10</v>
      </c>
      <c r="K22" s="32" t="s">
        <v>215</v>
      </c>
      <c r="L22" s="24">
        <f>A218</f>
        <v>41571</v>
      </c>
      <c r="M22" s="25">
        <f>TEK.Trans.Zona1!AW62</f>
        <v>41597</v>
      </c>
      <c r="N22" s="25">
        <f>M22-L22</f>
        <v>26</v>
      </c>
      <c r="AO22" s="20" t="s">
        <v>283</v>
      </c>
    </row>
    <row r="23" spans="1:41" ht="11.1" customHeight="1">
      <c r="A23" s="33"/>
      <c r="B23" s="34" t="s">
        <v>206</v>
      </c>
      <c r="C23" s="35">
        <v>21</v>
      </c>
      <c r="D23" s="36">
        <f>TEK.Trans.Zona1!$W$44</f>
        <v>1202</v>
      </c>
      <c r="E23" s="37"/>
      <c r="F23" s="37" t="s">
        <v>207</v>
      </c>
      <c r="G23" s="31"/>
      <c r="I23" s="38"/>
      <c r="J23" s="22"/>
      <c r="K23" s="23"/>
      <c r="L23" s="24"/>
      <c r="M23" s="25"/>
      <c r="N23" s="25"/>
      <c r="AO23" s="20" t="s">
        <v>228</v>
      </c>
    </row>
    <row r="24" spans="1:41" ht="11.1" customHeight="1">
      <c r="A24" s="33"/>
      <c r="B24" s="34" t="s">
        <v>206</v>
      </c>
      <c r="C24" s="35">
        <v>23</v>
      </c>
      <c r="D24" s="36">
        <f>TEK.Trans.Zona1!$Y$44</f>
        <v>455</v>
      </c>
      <c r="E24" s="37"/>
      <c r="F24" s="37" t="s">
        <v>207</v>
      </c>
      <c r="G24" s="31"/>
      <c r="I24" s="38"/>
      <c r="J24" s="22">
        <v>11</v>
      </c>
      <c r="K24" s="32" t="s">
        <v>216</v>
      </c>
      <c r="L24" s="24">
        <f>A236</f>
        <v>27176</v>
      </c>
      <c r="M24" s="25">
        <f>TEK.Trans.Zona1!AW64</f>
        <v>27192</v>
      </c>
      <c r="N24" s="25">
        <f>M24-L24</f>
        <v>16</v>
      </c>
    </row>
    <row r="25" spans="1:41" ht="11.1" customHeight="1">
      <c r="A25" s="33"/>
      <c r="B25" s="34" t="s">
        <v>206</v>
      </c>
      <c r="C25" s="35">
        <v>24</v>
      </c>
      <c r="D25" s="36">
        <f>TEK.Trans.Zona1!$Z$44</f>
        <v>1180</v>
      </c>
      <c r="E25" s="37" t="s">
        <v>207</v>
      </c>
      <c r="F25" s="34"/>
      <c r="G25" s="31"/>
      <c r="H25" s="20">
        <f>(0.33+0.3+0.33+0.34+0.3+0.34+0.35+0.32+0.35)/9</f>
        <v>0.3288888888888889</v>
      </c>
      <c r="I25" s="38">
        <f>(0.3+0.28+0.3+0.32+0.3+0.32+0.3+0.28+0.3)/9</f>
        <v>0.30000000000000004</v>
      </c>
      <c r="J25" s="22"/>
      <c r="K25" s="23">
        <f>(0.32+0.28+0.32+0.32+0.3+0.32+0.32+0.3+0.32)/9</f>
        <v>0.31111111111111112</v>
      </c>
      <c r="L25" s="24"/>
      <c r="M25" s="25">
        <f>(0.32+0.3+0.32+0.3+0.28+0.3+0.3+0.28+0.3)/9</f>
        <v>0.30000000000000004</v>
      </c>
      <c r="N25" s="25">
        <f>(0.3+0.28+0.3+0.3+0.28+0.3+0.32+0.3+0.33)/9</f>
        <v>0.30111111111111111</v>
      </c>
      <c r="O25" s="20">
        <f>(0.3+0.28+0.3+0.3+0.28+0.3+0.32+0.28+0.3)/9</f>
        <v>0.29555555555555557</v>
      </c>
      <c r="X25" s="20">
        <f>(0.4+0.36+0.4+0.32+0.26+0.32+0.3+0.25+0.3)/9</f>
        <v>0.32333333333333331</v>
      </c>
      <c r="AO25" s="20" t="s">
        <v>228</v>
      </c>
    </row>
    <row r="26" spans="1:41" ht="11.1" customHeight="1">
      <c r="A26" s="33"/>
      <c r="B26" s="34" t="s">
        <v>206</v>
      </c>
      <c r="C26" s="35">
        <v>32</v>
      </c>
      <c r="D26" s="28">
        <f>TEK.Trans.Zona1!$AF$44</f>
        <v>323</v>
      </c>
      <c r="E26" s="37"/>
      <c r="F26" s="37" t="s">
        <v>207</v>
      </c>
      <c r="G26" s="31"/>
      <c r="I26" s="38"/>
      <c r="J26" s="22">
        <v>12</v>
      </c>
      <c r="K26" s="32" t="s">
        <v>217</v>
      </c>
      <c r="L26" s="24">
        <f>A259</f>
        <v>32179</v>
      </c>
      <c r="M26" s="25">
        <f>TEK.Trans.Zona1!AW66</f>
        <v>38597</v>
      </c>
      <c r="N26" s="25">
        <f>M26-L26</f>
        <v>6418</v>
      </c>
    </row>
    <row r="27" spans="1:41" ht="11.1" customHeight="1">
      <c r="A27" s="33"/>
      <c r="B27" s="34" t="s">
        <v>206</v>
      </c>
      <c r="C27" s="35">
        <v>33</v>
      </c>
      <c r="D27" s="28">
        <f>TEK.Trans.Zona1!$AG$44</f>
        <v>1631</v>
      </c>
      <c r="E27" s="37"/>
      <c r="F27" s="37" t="s">
        <v>207</v>
      </c>
      <c r="G27" s="31"/>
      <c r="I27" s="38"/>
      <c r="J27" s="22"/>
      <c r="K27" s="23"/>
      <c r="L27" s="24"/>
      <c r="M27" s="25"/>
      <c r="N27" s="25"/>
    </row>
    <row r="28" spans="1:41" ht="11.1" customHeight="1">
      <c r="A28" s="33"/>
      <c r="B28" s="34" t="s">
        <v>206</v>
      </c>
      <c r="C28" s="35">
        <v>43</v>
      </c>
      <c r="D28" s="28">
        <f>TEK.Trans.Zona1!$AH$44</f>
        <v>1614</v>
      </c>
      <c r="E28" s="37" t="s">
        <v>207</v>
      </c>
      <c r="F28" s="34"/>
      <c r="G28" s="31"/>
      <c r="I28" s="38"/>
      <c r="J28" s="22">
        <v>13</v>
      </c>
      <c r="K28" s="32" t="s">
        <v>218</v>
      </c>
      <c r="L28" s="24">
        <f>A276</f>
        <v>20392</v>
      </c>
      <c r="M28" s="25">
        <f>TEK.Trans.Zona1!AW68</f>
        <v>20454</v>
      </c>
      <c r="N28" s="25">
        <f>M28-L28</f>
        <v>62</v>
      </c>
    </row>
    <row r="29" spans="1:41" ht="11.1" customHeight="1">
      <c r="A29" s="33"/>
      <c r="B29" s="34" t="s">
        <v>206</v>
      </c>
      <c r="C29" s="35">
        <v>44</v>
      </c>
      <c r="D29" s="28">
        <f>TEK.Trans.Zona1!$AI$44</f>
        <v>960</v>
      </c>
      <c r="E29" s="37" t="s">
        <v>207</v>
      </c>
      <c r="F29" s="34"/>
      <c r="G29" s="31"/>
      <c r="I29" s="38"/>
      <c r="J29" s="22"/>
      <c r="K29" s="23"/>
      <c r="L29" s="24"/>
      <c r="M29" s="25"/>
      <c r="N29" s="25"/>
    </row>
    <row r="30" spans="1:41" ht="11.1" customHeight="1">
      <c r="A30" s="33"/>
      <c r="B30" s="34" t="s">
        <v>206</v>
      </c>
      <c r="C30" s="35">
        <v>45</v>
      </c>
      <c r="D30" s="28">
        <f>TEK.Trans.Zona1!$AJ$44</f>
        <v>1759</v>
      </c>
      <c r="E30" s="37" t="s">
        <v>207</v>
      </c>
      <c r="F30" s="34" t="s">
        <v>195</v>
      </c>
      <c r="G30" s="31"/>
      <c r="I30" s="38"/>
      <c r="J30" s="22">
        <v>14</v>
      </c>
      <c r="K30" s="32" t="s">
        <v>219</v>
      </c>
      <c r="L30" s="24">
        <f>A292</f>
        <v>15006</v>
      </c>
      <c r="M30" s="25">
        <f>TEK.Trans.Zona1!AW70</f>
        <v>15025</v>
      </c>
      <c r="N30" s="25">
        <f>M30-L30</f>
        <v>19</v>
      </c>
    </row>
    <row r="31" spans="1:41" ht="11.1" customHeight="1">
      <c r="A31" s="33"/>
      <c r="B31" s="34" t="s">
        <v>206</v>
      </c>
      <c r="C31" s="35">
        <v>48</v>
      </c>
      <c r="D31" s="28">
        <f>TEK.Trans.Zona1!$AL$44</f>
        <v>3881</v>
      </c>
      <c r="E31" s="37" t="s">
        <v>207</v>
      </c>
      <c r="F31" s="34"/>
      <c r="G31" s="31"/>
      <c r="I31" s="38"/>
      <c r="J31" s="22"/>
      <c r="K31" s="23"/>
      <c r="L31" s="24"/>
      <c r="M31" s="25"/>
      <c r="N31" s="25"/>
    </row>
    <row r="32" spans="1:41" ht="11.1" customHeight="1">
      <c r="A32" s="33"/>
      <c r="B32" s="40" t="s">
        <v>206</v>
      </c>
      <c r="C32" s="41">
        <v>49</v>
      </c>
      <c r="D32" s="28">
        <f>TEK.Trans.Zona1!$AM$44</f>
        <v>1652</v>
      </c>
      <c r="E32" s="37"/>
      <c r="F32" s="37" t="s">
        <v>207</v>
      </c>
      <c r="G32" s="31"/>
      <c r="I32" s="38"/>
      <c r="J32" s="22">
        <v>15</v>
      </c>
      <c r="K32" s="32" t="s">
        <v>220</v>
      </c>
      <c r="L32" s="24">
        <f>A304</f>
        <v>17316</v>
      </c>
      <c r="M32" s="25">
        <f>TEK.Trans.Zona1!AW72</f>
        <v>17890</v>
      </c>
      <c r="N32" s="25">
        <f>M32-L32</f>
        <v>574</v>
      </c>
    </row>
    <row r="33" spans="1:41" ht="11.1" customHeight="1">
      <c r="A33" s="402" t="s">
        <v>221</v>
      </c>
      <c r="B33" s="403"/>
      <c r="C33" s="42"/>
      <c r="D33" s="43"/>
      <c r="E33" s="44">
        <f>SUM(D16:D22,D25,D28:D31)/A19*100</f>
        <v>53.711344985859334</v>
      </c>
      <c r="F33" s="45">
        <f>100-E33</f>
        <v>46.288655014140666</v>
      </c>
      <c r="G33" s="46">
        <f>SUM(E33:F33)</f>
        <v>100</v>
      </c>
      <c r="I33" s="38"/>
      <c r="M33" s="47"/>
      <c r="N33" s="22"/>
    </row>
    <row r="34" spans="1:41" ht="11.1" customHeight="1">
      <c r="A34" s="379" t="s">
        <v>1</v>
      </c>
      <c r="B34" s="381" t="s">
        <v>197</v>
      </c>
      <c r="C34" s="383" t="s">
        <v>198</v>
      </c>
      <c r="D34" s="385" t="s">
        <v>199</v>
      </c>
      <c r="E34" s="376" t="s">
        <v>200</v>
      </c>
      <c r="F34" s="376"/>
      <c r="G34" s="377" t="s">
        <v>201</v>
      </c>
      <c r="I34" s="38"/>
      <c r="L34" s="25">
        <f>SUM(L4:L32)</f>
        <v>442644</v>
      </c>
      <c r="M34" s="25">
        <f>TEK.Trans.Zona1!AW74</f>
        <v>452454</v>
      </c>
      <c r="N34" s="25">
        <f>M34-L34</f>
        <v>9810</v>
      </c>
    </row>
    <row r="35" spans="1:41" ht="11.1" customHeight="1">
      <c r="A35" s="380"/>
      <c r="B35" s="382"/>
      <c r="C35" s="384"/>
      <c r="D35" s="386"/>
      <c r="E35" s="26" t="s">
        <v>203</v>
      </c>
      <c r="F35" s="26" t="s">
        <v>204</v>
      </c>
      <c r="G35" s="378"/>
      <c r="I35" s="48"/>
      <c r="J35" s="49"/>
      <c r="K35" s="22"/>
    </row>
    <row r="36" spans="1:41" ht="11.1" customHeight="1">
      <c r="A36" s="50" t="s">
        <v>20</v>
      </c>
      <c r="B36" s="388" t="s">
        <v>205</v>
      </c>
      <c r="C36" s="389"/>
      <c r="D36" s="36"/>
      <c r="E36" s="51"/>
      <c r="F36" s="37"/>
      <c r="G36" s="31"/>
      <c r="I36" s="38"/>
      <c r="J36"/>
      <c r="K36" s="24"/>
    </row>
    <row r="37" spans="1:41" ht="11.1" customHeight="1">
      <c r="A37" s="52"/>
      <c r="B37" s="34" t="s">
        <v>206</v>
      </c>
      <c r="C37" s="35">
        <v>1</v>
      </c>
      <c r="D37" s="36">
        <f>TEK.Trans.Zona1!$C$46</f>
        <v>4539</v>
      </c>
      <c r="E37" s="37" t="s">
        <v>207</v>
      </c>
      <c r="F37" s="37"/>
      <c r="G37" s="31"/>
    </row>
    <row r="38" spans="1:41" ht="11.1" customHeight="1">
      <c r="A38" s="52"/>
      <c r="B38" s="34" t="s">
        <v>206</v>
      </c>
      <c r="C38" s="35">
        <v>2</v>
      </c>
      <c r="D38" s="36">
        <f>TEK.Trans.Zona1!$D$46</f>
        <v>4380</v>
      </c>
      <c r="E38" s="37" t="s">
        <v>207</v>
      </c>
      <c r="F38" s="37" t="s">
        <v>207</v>
      </c>
      <c r="G38" s="31"/>
    </row>
    <row r="39" spans="1:41" ht="11.1" customHeight="1">
      <c r="A39" s="52"/>
      <c r="B39" s="34" t="s">
        <v>206</v>
      </c>
      <c r="C39" s="35">
        <v>5</v>
      </c>
      <c r="D39" s="36">
        <f>TEK.Trans.Zona1!$G$46</f>
        <v>1861</v>
      </c>
      <c r="E39" s="37" t="s">
        <v>207</v>
      </c>
      <c r="F39" s="37"/>
      <c r="G39" s="31"/>
    </row>
    <row r="40" spans="1:41" ht="11.1" customHeight="1">
      <c r="A40" s="52"/>
      <c r="B40" s="34" t="s">
        <v>206</v>
      </c>
      <c r="C40" s="35">
        <v>6</v>
      </c>
      <c r="D40" s="36">
        <f>TEK.Trans.Zona1!$H$46</f>
        <v>2405</v>
      </c>
      <c r="E40" s="37" t="s">
        <v>207</v>
      </c>
      <c r="F40" s="37"/>
      <c r="G40" s="31"/>
    </row>
    <row r="41" spans="1:41" ht="11.1" customHeight="1">
      <c r="A41" s="52"/>
      <c r="B41" s="34" t="s">
        <v>206</v>
      </c>
      <c r="C41" s="35">
        <v>7</v>
      </c>
      <c r="D41" s="36">
        <f>TEK.Trans.Zona1!$I$46</f>
        <v>2253</v>
      </c>
      <c r="E41" s="51"/>
      <c r="F41" s="37" t="s">
        <v>207</v>
      </c>
      <c r="G41" s="31"/>
    </row>
    <row r="42" spans="1:41" ht="11.1" customHeight="1">
      <c r="A42" s="52"/>
      <c r="B42" s="34" t="s">
        <v>206</v>
      </c>
      <c r="C42" s="35">
        <v>8</v>
      </c>
      <c r="D42" s="36">
        <f>TEK.Trans.Zona1!$J$46</f>
        <v>1971</v>
      </c>
      <c r="E42" s="51"/>
      <c r="F42" s="37" t="s">
        <v>207</v>
      </c>
      <c r="G42" s="31"/>
    </row>
    <row r="43" spans="1:41" ht="11.1" customHeight="1">
      <c r="A43" s="52"/>
      <c r="B43" s="34" t="s">
        <v>206</v>
      </c>
      <c r="C43" s="35">
        <v>9</v>
      </c>
      <c r="D43" s="36">
        <f>TEK.Trans.Zona1!$K$46</f>
        <v>2547</v>
      </c>
      <c r="E43" s="37" t="s">
        <v>207</v>
      </c>
      <c r="F43" s="37"/>
      <c r="G43" s="31"/>
    </row>
    <row r="44" spans="1:41" ht="11.1" customHeight="1">
      <c r="A44" s="52"/>
      <c r="B44" s="34" t="s">
        <v>206</v>
      </c>
      <c r="C44" s="35">
        <v>10</v>
      </c>
      <c r="D44" s="36">
        <f>TEK.Trans.Zona1!$L$46</f>
        <v>1916</v>
      </c>
      <c r="E44" s="51" t="s">
        <v>207</v>
      </c>
      <c r="F44" s="37"/>
      <c r="G44" s="31"/>
      <c r="AO44" s="175"/>
    </row>
    <row r="45" spans="1:41" ht="11.1" customHeight="1">
      <c r="A45" s="52"/>
      <c r="B45" s="34" t="s">
        <v>206</v>
      </c>
      <c r="C45" s="35">
        <v>12</v>
      </c>
      <c r="D45" s="36">
        <f>TEK.Trans.Zona1!$N$46</f>
        <v>974</v>
      </c>
      <c r="E45" s="51"/>
      <c r="F45" s="37" t="s">
        <v>207</v>
      </c>
      <c r="G45" s="31"/>
    </row>
    <row r="46" spans="1:41" ht="11.1" customHeight="1">
      <c r="A46" s="52"/>
      <c r="B46" s="34" t="s">
        <v>206</v>
      </c>
      <c r="C46" s="35">
        <v>13</v>
      </c>
      <c r="D46" s="36">
        <f>TEK.Trans.Zona1!$O$46</f>
        <v>1294</v>
      </c>
      <c r="E46" s="37" t="s">
        <v>207</v>
      </c>
      <c r="F46" s="37"/>
      <c r="G46" s="31"/>
    </row>
    <row r="47" spans="1:41" ht="11.1" customHeight="1">
      <c r="A47" s="53">
        <f>SUM(D37:D55)</f>
        <v>40643</v>
      </c>
      <c r="B47" s="34" t="s">
        <v>206</v>
      </c>
      <c r="C47" s="35">
        <v>14</v>
      </c>
      <c r="D47" s="36">
        <f>TEK.Trans.Zona1!$P$46</f>
        <v>1135</v>
      </c>
      <c r="E47" s="37" t="s">
        <v>207</v>
      </c>
      <c r="F47" s="37"/>
      <c r="G47" s="31"/>
    </row>
    <row r="48" spans="1:41" ht="11.1" customHeight="1">
      <c r="A48" s="52"/>
      <c r="B48" s="34" t="s">
        <v>206</v>
      </c>
      <c r="C48" s="35">
        <v>15</v>
      </c>
      <c r="D48" s="36">
        <f>TEK.Trans.Zona1!$Q$46</f>
        <v>2722</v>
      </c>
      <c r="E48" s="37" t="s">
        <v>207</v>
      </c>
      <c r="F48" s="37"/>
      <c r="G48" s="31"/>
    </row>
    <row r="49" spans="1:41" ht="11.1" customHeight="1">
      <c r="A49" s="52"/>
      <c r="B49" s="34" t="s">
        <v>206</v>
      </c>
      <c r="C49" s="35">
        <v>16</v>
      </c>
      <c r="D49" s="36">
        <f>TEK.Trans.Zona1!$R$46</f>
        <v>2771</v>
      </c>
      <c r="E49" s="51"/>
      <c r="F49" s="37" t="s">
        <v>207</v>
      </c>
      <c r="G49" s="31"/>
    </row>
    <row r="50" spans="1:41" ht="11.1" customHeight="1">
      <c r="A50" s="52"/>
      <c r="B50" s="34" t="s">
        <v>206</v>
      </c>
      <c r="C50" s="35">
        <v>17</v>
      </c>
      <c r="D50" s="36">
        <f>TEK.Trans.Zona1!$S$46</f>
        <v>2233</v>
      </c>
      <c r="E50" s="51"/>
      <c r="F50" s="37" t="s">
        <v>207</v>
      </c>
      <c r="G50" s="31"/>
    </row>
    <row r="51" spans="1:41" ht="11.1" customHeight="1">
      <c r="A51" s="52"/>
      <c r="B51" s="34" t="s">
        <v>206</v>
      </c>
      <c r="C51" s="35">
        <v>19</v>
      </c>
      <c r="D51" s="36">
        <f>TEK.Trans.Zona1!$U$46</f>
        <v>1448</v>
      </c>
      <c r="E51" s="37" t="s">
        <v>207</v>
      </c>
      <c r="F51" s="37"/>
      <c r="G51" s="31"/>
    </row>
    <row r="52" spans="1:41" ht="11.1" customHeight="1">
      <c r="A52" s="52"/>
      <c r="B52" s="34" t="s">
        <v>206</v>
      </c>
      <c r="C52" s="35">
        <v>20</v>
      </c>
      <c r="D52" s="36">
        <f>TEK.Trans.Zona1!$V$46</f>
        <v>167</v>
      </c>
      <c r="E52" s="51"/>
      <c r="F52" s="37" t="s">
        <v>207</v>
      </c>
      <c r="G52" s="31"/>
    </row>
    <row r="53" spans="1:41" ht="11.1" customHeight="1">
      <c r="A53" s="52"/>
      <c r="B53" s="34" t="s">
        <v>206</v>
      </c>
      <c r="C53" s="35">
        <v>21</v>
      </c>
      <c r="D53" s="36">
        <f>TEK.Trans.Zona1!$W$46</f>
        <v>3365</v>
      </c>
      <c r="E53" s="51"/>
      <c r="F53" s="37" t="s">
        <v>207</v>
      </c>
      <c r="G53" s="31"/>
    </row>
    <row r="54" spans="1:41" ht="11.1" customHeight="1">
      <c r="A54" s="52"/>
      <c r="B54" s="34" t="s">
        <v>206</v>
      </c>
      <c r="C54" s="35">
        <v>23</v>
      </c>
      <c r="D54" s="36">
        <f>TEK.Trans.Zona1!Y46</f>
        <v>2089</v>
      </c>
      <c r="E54" s="37" t="s">
        <v>207</v>
      </c>
      <c r="F54" s="37"/>
      <c r="G54" s="31"/>
      <c r="H54" s="20">
        <v>762</v>
      </c>
      <c r="I54" s="20">
        <v>524</v>
      </c>
      <c r="J54" s="20">
        <v>503</v>
      </c>
      <c r="M54" s="20">
        <v>481</v>
      </c>
      <c r="O54" s="20">
        <v>332</v>
      </c>
      <c r="AO54" s="20" t="s">
        <v>228</v>
      </c>
    </row>
    <row r="55" spans="1:41" ht="11.1" customHeight="1">
      <c r="A55" s="52"/>
      <c r="B55" s="34" t="s">
        <v>206</v>
      </c>
      <c r="C55" s="35">
        <v>26</v>
      </c>
      <c r="D55" s="36">
        <f>TEK.Trans.Zona1!$AB$46</f>
        <v>573</v>
      </c>
      <c r="E55" s="51"/>
      <c r="F55" s="37" t="s">
        <v>207</v>
      </c>
      <c r="G55" s="31"/>
    </row>
    <row r="56" spans="1:41" ht="11.1" customHeight="1">
      <c r="A56" s="393" t="s">
        <v>221</v>
      </c>
      <c r="B56" s="394"/>
      <c r="C56" s="54"/>
      <c r="D56" s="55"/>
      <c r="E56" s="56">
        <f>SUM(D37,D38,D39,D40,D43,D44,D44,D46,D47,D48,D51,D54)/A47*100</f>
        <v>69.512585193022176</v>
      </c>
      <c r="F56" s="57">
        <f>100-E56</f>
        <v>30.487414806977824</v>
      </c>
      <c r="G56" s="58">
        <f>SUM(E56:F56)</f>
        <v>100</v>
      </c>
    </row>
    <row r="57" spans="1:41" ht="11.1" customHeight="1">
      <c r="A57" s="379" t="s">
        <v>1</v>
      </c>
      <c r="B57" s="381" t="s">
        <v>197</v>
      </c>
      <c r="C57" s="383" t="s">
        <v>198</v>
      </c>
      <c r="D57" s="385" t="s">
        <v>199</v>
      </c>
      <c r="E57" s="376" t="s">
        <v>200</v>
      </c>
      <c r="F57" s="376"/>
      <c r="G57" s="377" t="s">
        <v>201</v>
      </c>
    </row>
    <row r="58" spans="1:41" ht="11.1" customHeight="1">
      <c r="A58" s="380"/>
      <c r="B58" s="382"/>
      <c r="C58" s="384"/>
      <c r="D58" s="386"/>
      <c r="E58" s="26" t="s">
        <v>203</v>
      </c>
      <c r="F58" s="26" t="s">
        <v>204</v>
      </c>
      <c r="G58" s="378"/>
      <c r="H58" s="20">
        <v>3471</v>
      </c>
      <c r="I58" s="20">
        <v>1646</v>
      </c>
      <c r="J58" s="20">
        <v>2082</v>
      </c>
      <c r="K58" s="20">
        <v>2431</v>
      </c>
      <c r="L58" s="20">
        <v>1333</v>
      </c>
      <c r="M58" s="20">
        <v>2411</v>
      </c>
      <c r="N58" s="20">
        <v>597</v>
      </c>
      <c r="P58" s="20">
        <v>3423</v>
      </c>
      <c r="Q58" s="20">
        <v>1709</v>
      </c>
      <c r="R58" s="20">
        <v>1629</v>
      </c>
      <c r="AO58" s="20" t="s">
        <v>282</v>
      </c>
    </row>
    <row r="59" spans="1:41" ht="11.1" customHeight="1">
      <c r="A59" s="50" t="s">
        <v>47</v>
      </c>
      <c r="B59" s="374" t="s">
        <v>208</v>
      </c>
      <c r="C59" s="375"/>
      <c r="D59" s="36"/>
      <c r="E59" s="51"/>
      <c r="F59" s="59"/>
      <c r="G59" s="31"/>
    </row>
    <row r="60" spans="1:41" ht="11.1" customHeight="1">
      <c r="A60" s="52"/>
      <c r="B60" s="34" t="s">
        <v>206</v>
      </c>
      <c r="C60" s="35">
        <v>1</v>
      </c>
      <c r="D60" s="36">
        <f>TEK.Trans.Zona1!C48</f>
        <v>2466</v>
      </c>
      <c r="E60" s="30" t="s">
        <v>207</v>
      </c>
      <c r="F60" s="37"/>
      <c r="G60" s="31"/>
      <c r="H60" s="20">
        <v>1242</v>
      </c>
      <c r="J60" s="20">
        <v>1556</v>
      </c>
      <c r="K60" s="20">
        <v>769</v>
      </c>
      <c r="L60" s="20">
        <v>4185</v>
      </c>
      <c r="M60" s="20">
        <v>4047</v>
      </c>
      <c r="AO60" s="20" t="s">
        <v>281</v>
      </c>
    </row>
    <row r="61" spans="1:41" ht="11.1" customHeight="1">
      <c r="A61" s="52"/>
      <c r="B61" s="34" t="s">
        <v>206</v>
      </c>
      <c r="C61" s="35">
        <v>4</v>
      </c>
      <c r="D61" s="36">
        <f>TEK.Trans.Zona1!$F$48</f>
        <v>2978</v>
      </c>
      <c r="E61" s="51" t="s">
        <v>207</v>
      </c>
      <c r="F61" s="59"/>
      <c r="G61" s="31"/>
    </row>
    <row r="62" spans="1:41" ht="11.1" customHeight="1">
      <c r="A62" s="52"/>
      <c r="B62" s="34" t="s">
        <v>206</v>
      </c>
      <c r="C62" s="35">
        <v>5</v>
      </c>
      <c r="D62" s="36">
        <f>TEK.Trans.Zona1!$G$48</f>
        <v>2113</v>
      </c>
      <c r="E62" s="51" t="s">
        <v>207</v>
      </c>
      <c r="F62" s="59"/>
      <c r="G62" s="31"/>
      <c r="AO62" s="20" t="s">
        <v>228</v>
      </c>
    </row>
    <row r="63" spans="1:41" ht="11.1" customHeight="1">
      <c r="A63" s="52"/>
      <c r="B63" s="34" t="s">
        <v>206</v>
      </c>
      <c r="C63" s="35">
        <v>6</v>
      </c>
      <c r="D63" s="36">
        <f>TEK.Trans.Zona1!$H$48</f>
        <v>2292</v>
      </c>
      <c r="E63" s="51" t="s">
        <v>207</v>
      </c>
      <c r="F63" s="59"/>
      <c r="G63" s="31"/>
    </row>
    <row r="64" spans="1:41" ht="11.1" customHeight="1">
      <c r="A64" s="52"/>
      <c r="B64" s="34" t="s">
        <v>206</v>
      </c>
      <c r="C64" s="35">
        <v>7</v>
      </c>
      <c r="D64" s="36">
        <f>TEK.Trans.Zona1!$I$48</f>
        <v>1585</v>
      </c>
      <c r="E64" s="51" t="s">
        <v>207</v>
      </c>
      <c r="F64" s="59"/>
      <c r="G64" s="31"/>
    </row>
    <row r="65" spans="1:8" ht="11.1" customHeight="1">
      <c r="A65" s="52"/>
      <c r="B65" s="34" t="s">
        <v>206</v>
      </c>
      <c r="C65" s="35">
        <v>8</v>
      </c>
      <c r="D65" s="36">
        <f>TEK.Trans.Zona1!$J$48</f>
        <v>3124</v>
      </c>
      <c r="E65" s="51"/>
      <c r="F65" s="59" t="s">
        <v>207</v>
      </c>
      <c r="G65" s="31"/>
    </row>
    <row r="66" spans="1:8" ht="11.1" customHeight="1">
      <c r="A66" s="52"/>
      <c r="B66" s="34" t="s">
        <v>206</v>
      </c>
      <c r="C66" s="35">
        <v>9</v>
      </c>
      <c r="D66" s="36">
        <f>TEK.Trans.Zona1!$K$48</f>
        <v>2575</v>
      </c>
      <c r="E66" s="51"/>
      <c r="F66" s="59" t="s">
        <v>207</v>
      </c>
      <c r="G66" s="31"/>
    </row>
    <row r="67" spans="1:8" ht="11.1" customHeight="1">
      <c r="A67" s="52"/>
      <c r="B67" s="34" t="s">
        <v>206</v>
      </c>
      <c r="C67" s="35">
        <v>10</v>
      </c>
      <c r="D67" s="36">
        <f>TEK.Trans.Zona1!$L$48</f>
        <v>2396</v>
      </c>
      <c r="E67" s="51"/>
      <c r="F67" s="59" t="s">
        <v>207</v>
      </c>
      <c r="G67" s="31"/>
    </row>
    <row r="68" spans="1:8" ht="11.1" customHeight="1">
      <c r="A68" s="52"/>
      <c r="B68" s="34" t="s">
        <v>206</v>
      </c>
      <c r="C68" s="35">
        <v>11</v>
      </c>
      <c r="D68" s="36">
        <f>TEK.Trans.Zona1!$M$48</f>
        <v>2201</v>
      </c>
      <c r="E68" s="51" t="s">
        <v>207</v>
      </c>
      <c r="F68" s="59"/>
      <c r="G68" s="31"/>
    </row>
    <row r="69" spans="1:8" ht="11.1" customHeight="1">
      <c r="A69" s="53">
        <f>SUM(D60:D82)</f>
        <v>46412</v>
      </c>
      <c r="B69" s="34" t="s">
        <v>206</v>
      </c>
      <c r="C69" s="35">
        <v>13</v>
      </c>
      <c r="D69" s="36">
        <f>TEK.Trans.Zona1!$O$48</f>
        <v>355</v>
      </c>
      <c r="E69" s="51" t="s">
        <v>207</v>
      </c>
      <c r="F69" s="59"/>
      <c r="G69" s="31"/>
    </row>
    <row r="70" spans="1:8" ht="11.1" customHeight="1">
      <c r="A70" s="52"/>
      <c r="B70" s="34" t="s">
        <v>206</v>
      </c>
      <c r="C70" s="35">
        <v>14</v>
      </c>
      <c r="D70" s="36">
        <f>TEK.Trans.Zona1!$P$48</f>
        <v>2374</v>
      </c>
      <c r="E70" s="51"/>
      <c r="F70" s="59" t="s">
        <v>207</v>
      </c>
      <c r="G70" s="31"/>
      <c r="H70" t="s">
        <v>286</v>
      </c>
    </row>
    <row r="71" spans="1:8" ht="11.1" customHeight="1">
      <c r="A71" s="52"/>
      <c r="B71" s="34" t="s">
        <v>206</v>
      </c>
      <c r="C71" s="35">
        <v>15</v>
      </c>
      <c r="D71" s="36">
        <v>6</v>
      </c>
      <c r="E71" s="51"/>
      <c r="F71" s="59" t="s">
        <v>207</v>
      </c>
      <c r="G71" s="31"/>
      <c r="H71"/>
    </row>
    <row r="72" spans="1:8" ht="11.1" customHeight="1">
      <c r="A72" s="52"/>
      <c r="B72" s="34" t="s">
        <v>206</v>
      </c>
      <c r="C72" s="35">
        <v>16</v>
      </c>
      <c r="D72" s="36">
        <f>TEK.Trans.Zona1!$R$48</f>
        <v>2152</v>
      </c>
      <c r="E72" s="51"/>
      <c r="F72" s="59" t="s">
        <v>207</v>
      </c>
      <c r="G72" s="31"/>
    </row>
    <row r="73" spans="1:8" ht="11.1" customHeight="1">
      <c r="A73" s="52"/>
      <c r="B73" s="34" t="s">
        <v>206</v>
      </c>
      <c r="C73" s="35">
        <v>17</v>
      </c>
      <c r="D73" s="36">
        <f>TEK.Trans.Zona1!$S$48</f>
        <v>2492</v>
      </c>
      <c r="E73" s="51" t="s">
        <v>207</v>
      </c>
      <c r="F73" s="59"/>
      <c r="G73" s="31"/>
    </row>
    <row r="74" spans="1:8" ht="11.1" customHeight="1">
      <c r="A74" s="52"/>
      <c r="B74" s="34" t="s">
        <v>206</v>
      </c>
      <c r="C74" s="35">
        <v>20</v>
      </c>
      <c r="D74" s="36">
        <f>TEK.Trans.Zona1!$V$48</f>
        <v>1357</v>
      </c>
      <c r="E74" s="51" t="s">
        <v>207</v>
      </c>
      <c r="F74" s="59"/>
      <c r="G74" s="31"/>
    </row>
    <row r="75" spans="1:8" ht="11.1" customHeight="1">
      <c r="A75" s="52"/>
      <c r="B75" s="34" t="s">
        <v>206</v>
      </c>
      <c r="C75" s="35">
        <v>21</v>
      </c>
      <c r="D75" s="36">
        <f>TEK.Trans.Zona1!$W$48</f>
        <v>1328</v>
      </c>
      <c r="E75" s="51" t="s">
        <v>207</v>
      </c>
      <c r="F75" s="59"/>
      <c r="G75" s="31"/>
    </row>
    <row r="76" spans="1:8" ht="11.1" customHeight="1">
      <c r="A76" s="52"/>
      <c r="B76" s="34" t="s">
        <v>206</v>
      </c>
      <c r="C76" s="35">
        <v>23</v>
      </c>
      <c r="D76" s="36">
        <f>TEK.Trans.Zona1!$Y$48</f>
        <v>645</v>
      </c>
      <c r="E76" s="51" t="s">
        <v>207</v>
      </c>
      <c r="F76" s="59"/>
      <c r="G76" s="31"/>
    </row>
    <row r="77" spans="1:8" ht="11.1" customHeight="1">
      <c r="A77" s="52"/>
      <c r="B77" s="34" t="s">
        <v>206</v>
      </c>
      <c r="C77" s="35">
        <v>24</v>
      </c>
      <c r="D77" s="36">
        <f>TEK.Trans.Zona1!$Z$48</f>
        <v>2209</v>
      </c>
      <c r="E77" s="51" t="s">
        <v>207</v>
      </c>
      <c r="F77" s="59"/>
      <c r="G77" s="31"/>
    </row>
    <row r="78" spans="1:8" ht="11.1" customHeight="1">
      <c r="A78" s="52"/>
      <c r="B78" s="34" t="s">
        <v>206</v>
      </c>
      <c r="C78" s="35">
        <v>25</v>
      </c>
      <c r="D78" s="36">
        <f>TEK.Trans.Zona1!$AA$48</f>
        <v>2878</v>
      </c>
      <c r="E78" s="51" t="s">
        <v>207</v>
      </c>
      <c r="F78" s="59"/>
      <c r="G78" s="31"/>
    </row>
    <row r="79" spans="1:8" ht="11.1" customHeight="1">
      <c r="A79" s="52"/>
      <c r="B79" s="34" t="s">
        <v>206</v>
      </c>
      <c r="C79" s="35">
        <v>26</v>
      </c>
      <c r="D79" s="36">
        <f>TEK.Trans.Zona1!$AB$48</f>
        <v>2542</v>
      </c>
      <c r="E79" s="51" t="s">
        <v>207</v>
      </c>
      <c r="F79" s="59"/>
      <c r="G79" s="31"/>
    </row>
    <row r="80" spans="1:8" ht="11.1" customHeight="1">
      <c r="A80" s="52"/>
      <c r="B80" s="34" t="s">
        <v>206</v>
      </c>
      <c r="C80" s="35">
        <v>27</v>
      </c>
      <c r="D80" s="36">
        <f>TEK.Trans.Zona1!$AC$48</f>
        <v>2034</v>
      </c>
      <c r="E80" s="51" t="s">
        <v>207</v>
      </c>
      <c r="F80" s="59"/>
      <c r="G80" s="31"/>
    </row>
    <row r="81" spans="1:7" ht="11.1" customHeight="1">
      <c r="A81" s="52"/>
      <c r="B81" s="34" t="s">
        <v>206</v>
      </c>
      <c r="C81" s="35">
        <v>28</v>
      </c>
      <c r="D81" s="36">
        <f>TEK.Trans.Zona1!$AD$48</f>
        <v>3313</v>
      </c>
      <c r="E81" s="51" t="s">
        <v>207</v>
      </c>
      <c r="F81" s="59"/>
      <c r="G81" s="31"/>
    </row>
    <row r="82" spans="1:7" ht="11.1" customHeight="1">
      <c r="A82" s="60"/>
      <c r="B82" s="34" t="s">
        <v>206</v>
      </c>
      <c r="C82" s="41">
        <v>29</v>
      </c>
      <c r="D82" s="36">
        <f>TEK.Trans.Zona1!$AE$48</f>
        <v>997</v>
      </c>
      <c r="E82" s="51" t="s">
        <v>207</v>
      </c>
      <c r="F82" s="59"/>
      <c r="G82" s="61"/>
    </row>
    <row r="83" spans="1:7" ht="11.1" customHeight="1">
      <c r="A83" s="400" t="s">
        <v>221</v>
      </c>
      <c r="B83" s="401"/>
      <c r="C83" s="62"/>
      <c r="D83" s="63"/>
      <c r="E83" s="64">
        <f>SUM(D60,D61,D62,D63,D64,D68,D69,D73,D74,D75,D76,D77,D78,D79,D80,D81,D82)/A69*100</f>
        <v>72.793674049814712</v>
      </c>
      <c r="F83" s="65">
        <f>100-E83</f>
        <v>27.206325950185288</v>
      </c>
      <c r="G83" s="66">
        <f>SUM(E83:F83)</f>
        <v>100</v>
      </c>
    </row>
    <row r="84" spans="1:7">
      <c r="A84" s="67"/>
      <c r="B84" s="68"/>
      <c r="C84" s="51"/>
      <c r="D84" s="69"/>
      <c r="E84" s="70"/>
      <c r="F84" s="70"/>
      <c r="G84" s="224"/>
    </row>
    <row r="85" spans="1:7" ht="18">
      <c r="A85" s="387" t="s">
        <v>196</v>
      </c>
      <c r="B85" s="387"/>
      <c r="C85" s="387"/>
      <c r="D85" s="387"/>
      <c r="E85" s="387"/>
      <c r="F85" s="387"/>
      <c r="G85" s="387"/>
    </row>
    <row r="86" spans="1:7" ht="15.75">
      <c r="A86" s="391" t="str">
        <f>$A$2</f>
        <v xml:space="preserve"> BULAN DESEMBER 2019</v>
      </c>
      <c r="B86" s="392"/>
      <c r="C86" s="392"/>
      <c r="D86" s="392"/>
      <c r="E86" s="392"/>
      <c r="F86" s="392"/>
      <c r="G86" s="392"/>
    </row>
    <row r="87" spans="1:7" ht="8.25" customHeight="1">
      <c r="A87" s="387"/>
      <c r="B87" s="387"/>
      <c r="C87" s="387"/>
      <c r="D87" s="387"/>
      <c r="E87" s="387"/>
      <c r="F87" s="387"/>
      <c r="G87" s="387"/>
    </row>
    <row r="88" spans="1:7" ht="12" customHeight="1">
      <c r="A88" s="379" t="s">
        <v>1</v>
      </c>
      <c r="B88" s="381" t="s">
        <v>197</v>
      </c>
      <c r="C88" s="383" t="s">
        <v>198</v>
      </c>
      <c r="D88" s="385" t="s">
        <v>199</v>
      </c>
      <c r="E88" s="376" t="s">
        <v>200</v>
      </c>
      <c r="F88" s="376"/>
      <c r="G88" s="377" t="s">
        <v>201</v>
      </c>
    </row>
    <row r="89" spans="1:7" ht="12" customHeight="1">
      <c r="A89" s="380"/>
      <c r="B89" s="382"/>
      <c r="C89" s="384"/>
      <c r="D89" s="386"/>
      <c r="E89" s="26" t="s">
        <v>203</v>
      </c>
      <c r="F89" s="26" t="s">
        <v>204</v>
      </c>
      <c r="G89" s="378"/>
    </row>
    <row r="90" spans="1:7" ht="12" customHeight="1">
      <c r="A90" s="50" t="s">
        <v>58</v>
      </c>
      <c r="B90" s="374" t="s">
        <v>209</v>
      </c>
      <c r="C90" s="375"/>
      <c r="D90" s="36"/>
      <c r="E90" s="51"/>
      <c r="F90" s="37"/>
      <c r="G90" s="31"/>
    </row>
    <row r="91" spans="1:7" ht="12" customHeight="1">
      <c r="A91" s="52"/>
      <c r="B91" s="34" t="s">
        <v>206</v>
      </c>
      <c r="C91" s="35">
        <v>6</v>
      </c>
      <c r="D91" s="36">
        <f>TEK.Trans.Zona1!$H$50</f>
        <v>3300</v>
      </c>
      <c r="E91" s="51" t="s">
        <v>207</v>
      </c>
      <c r="F91" s="37"/>
      <c r="G91" s="31"/>
    </row>
    <row r="92" spans="1:7" ht="12" customHeight="1">
      <c r="A92" s="52"/>
      <c r="B92" s="34" t="s">
        <v>206</v>
      </c>
      <c r="C92" s="35">
        <v>7</v>
      </c>
      <c r="D92" s="36">
        <f>TEK.Trans.Zona1!$I$50</f>
        <v>1299</v>
      </c>
      <c r="E92" s="51" t="s">
        <v>207</v>
      </c>
      <c r="F92" s="37"/>
      <c r="G92" s="31"/>
    </row>
    <row r="93" spans="1:7" ht="12" customHeight="1">
      <c r="A93" s="52"/>
      <c r="B93" s="34" t="s">
        <v>206</v>
      </c>
      <c r="C93" s="35">
        <v>8</v>
      </c>
      <c r="D93" s="36">
        <f>TEK.Trans.Zona1!$J$50</f>
        <v>1470</v>
      </c>
      <c r="E93" s="51" t="s">
        <v>207</v>
      </c>
      <c r="F93" s="37"/>
      <c r="G93" s="31"/>
    </row>
    <row r="94" spans="1:7" ht="12" customHeight="1">
      <c r="A94" s="52"/>
      <c r="B94" s="34" t="s">
        <v>206</v>
      </c>
      <c r="C94" s="35">
        <v>9</v>
      </c>
      <c r="D94" s="36">
        <f>TEK.Trans.Zona1!$K$50</f>
        <v>726</v>
      </c>
      <c r="E94" s="51"/>
      <c r="F94" s="37" t="s">
        <v>207</v>
      </c>
      <c r="G94" s="31"/>
    </row>
    <row r="95" spans="1:7" ht="12" customHeight="1">
      <c r="A95" s="52"/>
      <c r="B95" s="34" t="s">
        <v>206</v>
      </c>
      <c r="C95" s="35">
        <v>10</v>
      </c>
      <c r="D95" s="36">
        <f>TEK.Trans.Zona1!$L$50</f>
        <v>828</v>
      </c>
      <c r="E95" s="51"/>
      <c r="F95" s="37" t="s">
        <v>207</v>
      </c>
      <c r="G95" s="31"/>
    </row>
    <row r="96" spans="1:7" ht="12" customHeight="1">
      <c r="A96" s="52"/>
      <c r="B96" s="34" t="s">
        <v>206</v>
      </c>
      <c r="C96" s="35">
        <v>11</v>
      </c>
      <c r="D96" s="36">
        <f>TEK.Trans.Zona1!$M$50</f>
        <v>2248</v>
      </c>
      <c r="E96" s="51"/>
      <c r="F96" s="37" t="s">
        <v>207</v>
      </c>
      <c r="G96" s="31"/>
    </row>
    <row r="97" spans="1:7" ht="12" customHeight="1">
      <c r="A97" s="52"/>
      <c r="B97" s="34" t="s">
        <v>206</v>
      </c>
      <c r="C97" s="35">
        <v>12</v>
      </c>
      <c r="D97" s="36">
        <f>TEK.Trans.Zona1!$N$50</f>
        <v>2653</v>
      </c>
      <c r="E97" s="51"/>
      <c r="F97" s="37" t="s">
        <v>207</v>
      </c>
      <c r="G97" s="31"/>
    </row>
    <row r="98" spans="1:7" ht="12" customHeight="1">
      <c r="A98" s="53">
        <f>SUM(D91:D107)</f>
        <v>32438</v>
      </c>
      <c r="B98" s="34" t="s">
        <v>206</v>
      </c>
      <c r="C98" s="35">
        <v>13</v>
      </c>
      <c r="D98" s="36">
        <f>TEK.Trans.Zona1!$O$50</f>
        <v>416</v>
      </c>
      <c r="E98" s="51"/>
      <c r="F98" s="37" t="s">
        <v>207</v>
      </c>
      <c r="G98" s="31"/>
    </row>
    <row r="99" spans="1:7" ht="12" customHeight="1">
      <c r="A99" s="52"/>
      <c r="B99" s="34" t="s">
        <v>206</v>
      </c>
      <c r="C99" s="35">
        <v>14</v>
      </c>
      <c r="D99" s="36">
        <f>TEK.Trans.Zona1!$P$50</f>
        <v>4611</v>
      </c>
      <c r="E99" s="51" t="s">
        <v>207</v>
      </c>
      <c r="F99" s="37"/>
      <c r="G99" s="31"/>
    </row>
    <row r="100" spans="1:7" ht="12" customHeight="1">
      <c r="A100" s="52"/>
      <c r="B100" s="34" t="s">
        <v>206</v>
      </c>
      <c r="C100" s="35">
        <v>15</v>
      </c>
      <c r="D100" s="36">
        <f>TEK.Trans.Zona1!$Q$50</f>
        <v>4288</v>
      </c>
      <c r="E100" s="51"/>
      <c r="F100" s="37"/>
      <c r="G100" s="31"/>
    </row>
    <row r="101" spans="1:7" ht="12" customHeight="1">
      <c r="A101" s="52"/>
      <c r="B101" s="34" t="s">
        <v>206</v>
      </c>
      <c r="C101" s="35">
        <v>16</v>
      </c>
      <c r="D101" s="36">
        <f>TEK.Trans.Zona1!$R$50</f>
        <v>5058</v>
      </c>
      <c r="E101" s="51" t="s">
        <v>207</v>
      </c>
      <c r="F101" s="37"/>
      <c r="G101" s="31"/>
    </row>
    <row r="102" spans="1:7" ht="12" customHeight="1">
      <c r="A102" s="52"/>
      <c r="B102" s="34" t="s">
        <v>206</v>
      </c>
      <c r="C102" s="35">
        <v>17</v>
      </c>
      <c r="D102" s="36">
        <f>TEK.Trans.Zona1!$S$50</f>
        <v>4</v>
      </c>
      <c r="E102" s="51" t="s">
        <v>207</v>
      </c>
      <c r="F102" s="37"/>
      <c r="G102" s="31"/>
    </row>
    <row r="103" spans="1:7" ht="12" customHeight="1">
      <c r="A103" s="52"/>
      <c r="B103" s="34" t="s">
        <v>206</v>
      </c>
      <c r="C103" s="35">
        <v>20</v>
      </c>
      <c r="D103" s="36">
        <f>TEK.Trans.Zona1!$V$50</f>
        <v>1224</v>
      </c>
      <c r="E103" s="51"/>
      <c r="F103" s="37" t="s">
        <v>207</v>
      </c>
      <c r="G103" s="31"/>
    </row>
    <row r="104" spans="1:7" ht="12" customHeight="1">
      <c r="A104" s="52"/>
      <c r="B104" s="34" t="s">
        <v>206</v>
      </c>
      <c r="C104" s="35">
        <v>21</v>
      </c>
      <c r="D104" s="36">
        <f>TEK.Trans.Zona1!$W$50</f>
        <v>1442</v>
      </c>
      <c r="E104" s="51"/>
      <c r="F104" s="37" t="s">
        <v>207</v>
      </c>
      <c r="G104" s="31"/>
    </row>
    <row r="105" spans="1:7" ht="12" customHeight="1">
      <c r="A105" s="52"/>
      <c r="B105" s="34" t="s">
        <v>206</v>
      </c>
      <c r="C105" s="35">
        <v>22</v>
      </c>
      <c r="D105" s="36">
        <f>TEK.Trans.Zona1!$X$50</f>
        <v>363</v>
      </c>
      <c r="E105" s="51"/>
      <c r="F105" s="37" t="s">
        <v>207</v>
      </c>
      <c r="G105" s="31"/>
    </row>
    <row r="106" spans="1:7" ht="12" customHeight="1">
      <c r="A106" s="52"/>
      <c r="B106" s="34" t="s">
        <v>206</v>
      </c>
      <c r="C106" s="35">
        <v>23</v>
      </c>
      <c r="D106" s="36">
        <f>TEK.Trans.Zona1!$Y$50</f>
        <v>732</v>
      </c>
      <c r="E106" s="51"/>
      <c r="F106" s="37" t="s">
        <v>207</v>
      </c>
      <c r="G106" s="31"/>
    </row>
    <row r="107" spans="1:7" ht="12" customHeight="1">
      <c r="A107" s="71"/>
      <c r="B107" s="40" t="s">
        <v>206</v>
      </c>
      <c r="C107" s="41">
        <v>24</v>
      </c>
      <c r="D107" s="36">
        <f>TEK.Trans.Zona1!$Z$50</f>
        <v>1776</v>
      </c>
      <c r="E107" s="72"/>
      <c r="F107" s="73" t="s">
        <v>207</v>
      </c>
      <c r="G107" s="61"/>
    </row>
    <row r="108" spans="1:7" ht="12" customHeight="1">
      <c r="A108" s="398" t="s">
        <v>221</v>
      </c>
      <c r="B108" s="399"/>
      <c r="C108" s="74"/>
      <c r="D108" s="75"/>
      <c r="E108" s="76">
        <f>SUM(D99,D101:D102,D92:D93,D91)/A98*(100)</f>
        <v>48.529502435415253</v>
      </c>
      <c r="F108" s="44">
        <f>100-E108</f>
        <v>51.470497564584747</v>
      </c>
      <c r="G108" s="46">
        <f>SUM(E108:F108)</f>
        <v>100</v>
      </c>
    </row>
    <row r="109" spans="1:7" ht="12" customHeight="1">
      <c r="A109" s="379" t="s">
        <v>1</v>
      </c>
      <c r="B109" s="381" t="s">
        <v>197</v>
      </c>
      <c r="C109" s="383" t="s">
        <v>198</v>
      </c>
      <c r="D109" s="385" t="s">
        <v>199</v>
      </c>
      <c r="E109" s="376" t="s">
        <v>200</v>
      </c>
      <c r="F109" s="376"/>
      <c r="G109" s="377" t="s">
        <v>201</v>
      </c>
    </row>
    <row r="110" spans="1:7" ht="12" customHeight="1">
      <c r="A110" s="380"/>
      <c r="B110" s="382"/>
      <c r="C110" s="384"/>
      <c r="D110" s="386"/>
      <c r="E110" s="26" t="s">
        <v>203</v>
      </c>
      <c r="F110" s="26" t="s">
        <v>204</v>
      </c>
      <c r="G110" s="378"/>
    </row>
    <row r="111" spans="1:7" ht="12" customHeight="1">
      <c r="A111" s="27" t="s">
        <v>69</v>
      </c>
      <c r="B111" s="405" t="s">
        <v>210</v>
      </c>
      <c r="C111" s="406"/>
      <c r="D111" s="77"/>
      <c r="E111" s="51"/>
      <c r="F111" s="30"/>
      <c r="G111" s="31"/>
    </row>
    <row r="112" spans="1:7" ht="12" customHeight="1">
      <c r="A112" s="33"/>
      <c r="B112" s="78" t="s">
        <v>206</v>
      </c>
      <c r="C112" s="35">
        <v>1</v>
      </c>
      <c r="D112" s="36">
        <f>TEK.Trans.Zona1!$C$52</f>
        <v>1014</v>
      </c>
      <c r="E112" s="51" t="s">
        <v>207</v>
      </c>
      <c r="F112" s="30"/>
      <c r="G112" s="31"/>
    </row>
    <row r="113" spans="1:7" ht="12" customHeight="1">
      <c r="A113" s="33"/>
      <c r="B113" s="78" t="s">
        <v>206</v>
      </c>
      <c r="C113" s="35">
        <v>2</v>
      </c>
      <c r="D113" s="36">
        <f>TEK.Trans.Zona1!$D$52</f>
        <v>0</v>
      </c>
      <c r="E113" s="51" t="s">
        <v>207</v>
      </c>
      <c r="F113" s="30"/>
      <c r="G113" s="31"/>
    </row>
    <row r="114" spans="1:7" ht="12" customHeight="1">
      <c r="A114" s="33"/>
      <c r="B114" s="78" t="s">
        <v>206</v>
      </c>
      <c r="C114" s="35">
        <v>3</v>
      </c>
      <c r="D114" s="36">
        <f>TEK.Trans.Zona1!$E$52</f>
        <v>0</v>
      </c>
      <c r="E114" s="51" t="s">
        <v>207</v>
      </c>
      <c r="F114" s="30"/>
      <c r="G114" s="31"/>
    </row>
    <row r="115" spans="1:7" ht="12" customHeight="1">
      <c r="A115" s="33"/>
      <c r="B115" s="78" t="s">
        <v>206</v>
      </c>
      <c r="C115" s="35">
        <v>4</v>
      </c>
      <c r="D115" s="36">
        <f>TEK.Trans.Zona1!$F$52</f>
        <v>0</v>
      </c>
      <c r="E115" s="51" t="s">
        <v>207</v>
      </c>
      <c r="F115" s="30"/>
      <c r="G115" s="31"/>
    </row>
    <row r="116" spans="1:7" ht="12" customHeight="1">
      <c r="A116" s="39">
        <f>SUM(D112:D122)</f>
        <v>1014</v>
      </c>
      <c r="B116" s="78" t="s">
        <v>206</v>
      </c>
      <c r="C116" s="35">
        <v>5</v>
      </c>
      <c r="D116" s="36">
        <f>TEK.Trans.Zona1!$G$52</f>
        <v>0</v>
      </c>
      <c r="E116" s="51" t="s">
        <v>207</v>
      </c>
      <c r="F116" s="30"/>
      <c r="G116" s="31"/>
    </row>
    <row r="117" spans="1:7" ht="12" customHeight="1">
      <c r="A117" s="33"/>
      <c r="B117" s="78" t="s">
        <v>206</v>
      </c>
      <c r="C117" s="35">
        <v>6</v>
      </c>
      <c r="D117" s="36">
        <f>TEK.Trans.Zona1!$H$52</f>
        <v>0</v>
      </c>
      <c r="E117" s="51" t="s">
        <v>207</v>
      </c>
      <c r="F117" s="30"/>
      <c r="G117" s="31"/>
    </row>
    <row r="118" spans="1:7" ht="12" customHeight="1">
      <c r="A118" s="33"/>
      <c r="B118" s="78" t="s">
        <v>206</v>
      </c>
      <c r="C118" s="35">
        <v>7</v>
      </c>
      <c r="D118" s="36">
        <f>TEK.Trans.Zona1!$I$52</f>
        <v>0</v>
      </c>
      <c r="E118" s="51" t="s">
        <v>207</v>
      </c>
      <c r="F118" s="30"/>
      <c r="G118" s="31"/>
    </row>
    <row r="119" spans="1:7" ht="12" customHeight="1">
      <c r="A119" s="33"/>
      <c r="B119" s="78" t="s">
        <v>206</v>
      </c>
      <c r="C119" s="35">
        <v>8</v>
      </c>
      <c r="D119" s="36">
        <f>TEK.Trans.Zona1!$J$52</f>
        <v>0</v>
      </c>
      <c r="E119" s="51" t="s">
        <v>207</v>
      </c>
      <c r="F119" s="30"/>
      <c r="G119" s="31"/>
    </row>
    <row r="120" spans="1:7" ht="12" customHeight="1">
      <c r="A120" s="33"/>
      <c r="B120" s="78" t="s">
        <v>206</v>
      </c>
      <c r="C120" s="35">
        <v>9</v>
      </c>
      <c r="D120" s="36">
        <f>TEK.Trans.Zona1!$K$52</f>
        <v>0</v>
      </c>
      <c r="E120" s="51" t="s">
        <v>207</v>
      </c>
      <c r="F120" s="30"/>
      <c r="G120" s="31"/>
    </row>
    <row r="121" spans="1:7" ht="12" customHeight="1">
      <c r="A121" s="33"/>
      <c r="B121" s="78" t="s">
        <v>206</v>
      </c>
      <c r="C121" s="35">
        <v>10</v>
      </c>
      <c r="D121" s="36">
        <f>TEK.Trans.Zona1!$L$52</f>
        <v>0</v>
      </c>
      <c r="E121" s="51" t="s">
        <v>207</v>
      </c>
      <c r="F121" s="30"/>
      <c r="G121" s="31"/>
    </row>
    <row r="122" spans="1:7" ht="12" customHeight="1">
      <c r="A122" s="79"/>
      <c r="B122" s="80" t="s">
        <v>206</v>
      </c>
      <c r="C122" s="41">
        <v>11</v>
      </c>
      <c r="D122" s="36">
        <f>TEK.Trans.Zona1!$M$52</f>
        <v>0</v>
      </c>
      <c r="E122" s="72" t="s">
        <v>207</v>
      </c>
      <c r="F122" s="81"/>
      <c r="G122" s="61"/>
    </row>
    <row r="123" spans="1:7" ht="12" customHeight="1">
      <c r="A123" s="398" t="s">
        <v>221</v>
      </c>
      <c r="B123" s="399"/>
      <c r="C123" s="42"/>
      <c r="D123" s="82"/>
      <c r="E123" s="76">
        <f>SUM(D112:D122)/A116*100</f>
        <v>100</v>
      </c>
      <c r="F123" s="45">
        <f>100-E123</f>
        <v>0</v>
      </c>
      <c r="G123" s="46">
        <f>SUM(E123:F123)</f>
        <v>100</v>
      </c>
    </row>
    <row r="124" spans="1:7" ht="12" customHeight="1">
      <c r="A124" s="379" t="s">
        <v>1</v>
      </c>
      <c r="B124" s="381" t="s">
        <v>197</v>
      </c>
      <c r="C124" s="383" t="s">
        <v>198</v>
      </c>
      <c r="D124" s="385" t="s">
        <v>199</v>
      </c>
      <c r="E124" s="376" t="s">
        <v>200</v>
      </c>
      <c r="F124" s="376"/>
      <c r="G124" s="377" t="s">
        <v>201</v>
      </c>
    </row>
    <row r="125" spans="1:7" ht="12" customHeight="1">
      <c r="A125" s="380"/>
      <c r="B125" s="382"/>
      <c r="C125" s="384"/>
      <c r="D125" s="386"/>
      <c r="E125" s="26" t="s">
        <v>203</v>
      </c>
      <c r="F125" s="26" t="s">
        <v>204</v>
      </c>
      <c r="G125" s="378"/>
    </row>
    <row r="126" spans="1:7" ht="12" customHeight="1">
      <c r="A126" s="50" t="s">
        <v>84</v>
      </c>
      <c r="B126" s="374" t="s">
        <v>211</v>
      </c>
      <c r="C126" s="375"/>
      <c r="D126" s="36"/>
      <c r="E126" s="51"/>
      <c r="F126" s="37"/>
      <c r="G126" s="31"/>
    </row>
    <row r="127" spans="1:7" ht="12" customHeight="1">
      <c r="A127" s="52"/>
      <c r="B127" s="34" t="s">
        <v>206</v>
      </c>
      <c r="C127" s="35">
        <v>1</v>
      </c>
      <c r="D127" s="36">
        <f>TEK.Trans.Zona1!$C$54</f>
        <v>466</v>
      </c>
      <c r="E127" s="51"/>
      <c r="F127" s="37" t="s">
        <v>207</v>
      </c>
      <c r="G127" s="31"/>
    </row>
    <row r="128" spans="1:7" ht="12" customHeight="1">
      <c r="A128" s="52"/>
      <c r="B128" s="34" t="s">
        <v>206</v>
      </c>
      <c r="C128" s="35">
        <v>2</v>
      </c>
      <c r="D128" s="36">
        <f>TEK.Trans.Zona1!$D$54</f>
        <v>521</v>
      </c>
      <c r="E128" s="51" t="s">
        <v>207</v>
      </c>
      <c r="F128" s="37"/>
      <c r="G128" s="31"/>
    </row>
    <row r="129" spans="1:7" ht="12" customHeight="1">
      <c r="A129" s="52"/>
      <c r="B129" s="34" t="s">
        <v>206</v>
      </c>
      <c r="C129" s="35">
        <v>3</v>
      </c>
      <c r="D129" s="36">
        <f>TEK.Trans.Zona1!$E$54</f>
        <v>573</v>
      </c>
      <c r="E129" s="51" t="s">
        <v>207</v>
      </c>
      <c r="F129" s="37"/>
      <c r="G129" s="31"/>
    </row>
    <row r="130" spans="1:7" ht="12" customHeight="1">
      <c r="A130" s="52"/>
      <c r="B130" s="34" t="s">
        <v>206</v>
      </c>
      <c r="C130" s="35">
        <v>4</v>
      </c>
      <c r="D130" s="36">
        <f>TEK.Trans.Zona1!$F$54</f>
        <v>668</v>
      </c>
      <c r="E130" s="51" t="s">
        <v>207</v>
      </c>
      <c r="F130" s="37"/>
      <c r="G130" s="31"/>
    </row>
    <row r="131" spans="1:7" ht="12" customHeight="1">
      <c r="A131" s="52"/>
      <c r="B131" s="34" t="s">
        <v>206</v>
      </c>
      <c r="C131" s="35">
        <v>5</v>
      </c>
      <c r="D131" s="36">
        <f>TEK.Trans.Zona1!$G$54</f>
        <v>668</v>
      </c>
      <c r="E131" s="51" t="s">
        <v>207</v>
      </c>
      <c r="F131" s="37"/>
      <c r="G131" s="31"/>
    </row>
    <row r="132" spans="1:7" ht="12" customHeight="1">
      <c r="A132" s="53">
        <f>SUM(D127:D139)</f>
        <v>7458</v>
      </c>
      <c r="B132" s="34" t="s">
        <v>206</v>
      </c>
      <c r="C132" s="35">
        <v>6</v>
      </c>
      <c r="D132" s="36">
        <f>TEK.Trans.Zona1!$H$54</f>
        <v>915</v>
      </c>
      <c r="E132" s="51" t="s">
        <v>207</v>
      </c>
      <c r="F132" s="37"/>
      <c r="G132" s="31"/>
    </row>
    <row r="133" spans="1:7" ht="12" customHeight="1">
      <c r="A133" s="52"/>
      <c r="B133" s="34" t="s">
        <v>206</v>
      </c>
      <c r="C133" s="35">
        <v>7</v>
      </c>
      <c r="D133" s="36">
        <f>TEK.Trans.Zona1!$I$54</f>
        <v>598</v>
      </c>
      <c r="E133" s="51" t="s">
        <v>207</v>
      </c>
      <c r="F133" s="37"/>
      <c r="G133" s="31"/>
    </row>
    <row r="134" spans="1:7" ht="12" customHeight="1">
      <c r="A134" s="52"/>
      <c r="B134" s="34" t="s">
        <v>206</v>
      </c>
      <c r="C134" s="35">
        <v>8</v>
      </c>
      <c r="D134" s="36">
        <f>TEK.Trans.Zona1!$J$54</f>
        <v>532</v>
      </c>
      <c r="E134" s="51" t="s">
        <v>207</v>
      </c>
      <c r="F134" s="37"/>
      <c r="G134" s="31"/>
    </row>
    <row r="135" spans="1:7" ht="12" customHeight="1">
      <c r="A135" s="52"/>
      <c r="B135" s="34" t="s">
        <v>206</v>
      </c>
      <c r="C135" s="35">
        <v>9</v>
      </c>
      <c r="D135" s="36">
        <f>TEK.Trans.Zona1!$K$54</f>
        <v>518</v>
      </c>
      <c r="E135" s="51"/>
      <c r="F135" s="37" t="s">
        <v>207</v>
      </c>
      <c r="G135" s="31"/>
    </row>
    <row r="136" spans="1:7" ht="12" customHeight="1">
      <c r="A136" s="52"/>
      <c r="B136" s="34" t="s">
        <v>206</v>
      </c>
      <c r="C136" s="35">
        <v>10</v>
      </c>
      <c r="D136" s="36">
        <f>TEK.Trans.Zona1!$L$54</f>
        <v>513</v>
      </c>
      <c r="E136" s="51"/>
      <c r="F136" s="37" t="s">
        <v>207</v>
      </c>
      <c r="G136" s="31"/>
    </row>
    <row r="137" spans="1:7" ht="12" customHeight="1">
      <c r="A137" s="52"/>
      <c r="B137" s="34" t="s">
        <v>206</v>
      </c>
      <c r="C137" s="35">
        <v>11</v>
      </c>
      <c r="D137" s="36">
        <f>TEK.Trans.Zona1!$M$54</f>
        <v>551</v>
      </c>
      <c r="E137" s="51" t="s">
        <v>207</v>
      </c>
      <c r="F137" s="37"/>
      <c r="G137" s="31"/>
    </row>
    <row r="138" spans="1:7" ht="12" customHeight="1">
      <c r="A138" s="52"/>
      <c r="B138" s="34" t="s">
        <v>206</v>
      </c>
      <c r="C138" s="35">
        <v>12</v>
      </c>
      <c r="D138" s="36">
        <f>TEK.Trans.Zona1!$N$54</f>
        <v>565</v>
      </c>
      <c r="E138" s="51" t="s">
        <v>207</v>
      </c>
      <c r="F138" s="37"/>
      <c r="G138" s="31"/>
    </row>
    <row r="139" spans="1:7" ht="12" customHeight="1">
      <c r="A139" s="71"/>
      <c r="B139" s="40" t="s">
        <v>206</v>
      </c>
      <c r="C139" s="41">
        <v>13</v>
      </c>
      <c r="D139" s="36">
        <f>TEK.Trans.Zona1!$O$54</f>
        <v>370</v>
      </c>
      <c r="E139" s="72" t="s">
        <v>207</v>
      </c>
      <c r="F139" s="73"/>
      <c r="G139" s="61"/>
    </row>
    <row r="140" spans="1:7" ht="12" customHeight="1">
      <c r="A140" s="398" t="s">
        <v>221</v>
      </c>
      <c r="B140" s="399"/>
      <c r="C140" s="74"/>
      <c r="D140" s="75"/>
      <c r="E140" s="76">
        <f>SUM(D128:D134,D137:D139)/A132*100</f>
        <v>79.927594529364441</v>
      </c>
      <c r="F140" s="44">
        <f>100-E140</f>
        <v>20.072405470635559</v>
      </c>
      <c r="G140" s="46">
        <f>SUM(E140:F140)</f>
        <v>100</v>
      </c>
    </row>
    <row r="141" spans="1:7" ht="12" customHeight="1">
      <c r="A141" s="379" t="s">
        <v>1</v>
      </c>
      <c r="B141" s="381" t="s">
        <v>197</v>
      </c>
      <c r="C141" s="383" t="s">
        <v>198</v>
      </c>
      <c r="D141" s="385" t="s">
        <v>199</v>
      </c>
      <c r="E141" s="376" t="s">
        <v>200</v>
      </c>
      <c r="F141" s="376"/>
      <c r="G141" s="377" t="s">
        <v>201</v>
      </c>
    </row>
    <row r="142" spans="1:7" ht="12" customHeight="1">
      <c r="A142" s="380"/>
      <c r="B142" s="382"/>
      <c r="C142" s="384"/>
      <c r="D142" s="386"/>
      <c r="E142" s="26" t="s">
        <v>203</v>
      </c>
      <c r="F142" s="26" t="s">
        <v>204</v>
      </c>
      <c r="G142" s="378"/>
    </row>
    <row r="143" spans="1:7" ht="12" customHeight="1">
      <c r="A143" s="50" t="s">
        <v>93</v>
      </c>
      <c r="B143" s="374" t="s">
        <v>212</v>
      </c>
      <c r="C143" s="375"/>
      <c r="D143" s="36"/>
      <c r="E143" s="51"/>
      <c r="F143" s="59"/>
      <c r="G143" s="31"/>
    </row>
    <row r="144" spans="1:7" ht="12" customHeight="1">
      <c r="A144" s="52"/>
      <c r="B144" s="34" t="s">
        <v>206</v>
      </c>
      <c r="C144" s="35">
        <v>1</v>
      </c>
      <c r="D144" s="36">
        <f>TEK.Trans.Zona1!$C$56</f>
        <v>3233</v>
      </c>
      <c r="E144" s="51" t="s">
        <v>207</v>
      </c>
      <c r="F144" s="59"/>
      <c r="G144" s="31"/>
    </row>
    <row r="145" spans="1:7" ht="12" customHeight="1">
      <c r="A145" s="52"/>
      <c r="B145" s="34" t="s">
        <v>206</v>
      </c>
      <c r="C145" s="35">
        <v>2</v>
      </c>
      <c r="D145" s="36">
        <f>TEK.Trans.Zona1!$D$56</f>
        <v>1731</v>
      </c>
      <c r="E145" s="51" t="s">
        <v>207</v>
      </c>
      <c r="F145" s="59"/>
      <c r="G145" s="31"/>
    </row>
    <row r="146" spans="1:7" ht="12" customHeight="1">
      <c r="A146" s="52"/>
      <c r="B146" s="34" t="s">
        <v>206</v>
      </c>
      <c r="C146" s="35">
        <v>3</v>
      </c>
      <c r="D146" s="36">
        <f>TEK.Trans.Zona1!$E$56</f>
        <v>3264</v>
      </c>
      <c r="E146" s="51" t="s">
        <v>207</v>
      </c>
      <c r="F146" s="59"/>
      <c r="G146" s="31"/>
    </row>
    <row r="147" spans="1:7" ht="12" customHeight="1">
      <c r="A147" s="52"/>
      <c r="B147" s="34" t="s">
        <v>206</v>
      </c>
      <c r="C147" s="35">
        <v>5</v>
      </c>
      <c r="D147" s="36">
        <f>TEK.Trans.Zona1!$G$56</f>
        <v>4060</v>
      </c>
      <c r="E147" s="51" t="s">
        <v>207</v>
      </c>
      <c r="F147" s="59"/>
      <c r="G147" s="31"/>
    </row>
    <row r="148" spans="1:7" ht="12" customHeight="1">
      <c r="A148" s="52"/>
      <c r="B148" s="34" t="s">
        <v>206</v>
      </c>
      <c r="C148" s="35">
        <v>7</v>
      </c>
      <c r="D148" s="36">
        <f>TEK.Trans.Zona1!I56</f>
        <v>2910</v>
      </c>
      <c r="E148" s="51" t="s">
        <v>207</v>
      </c>
      <c r="F148" s="59"/>
      <c r="G148" s="31"/>
    </row>
    <row r="149" spans="1:7" ht="12" customHeight="1">
      <c r="A149" s="52"/>
      <c r="B149" s="34" t="s">
        <v>206</v>
      </c>
      <c r="C149" s="35">
        <v>8</v>
      </c>
      <c r="D149" s="36">
        <f>TEK.Trans.Zona1!$J$56</f>
        <v>2352</v>
      </c>
      <c r="E149" s="51" t="s">
        <v>207</v>
      </c>
      <c r="F149" s="59"/>
      <c r="G149" s="31"/>
    </row>
    <row r="150" spans="1:7" ht="12" customHeight="1">
      <c r="A150" s="52"/>
      <c r="B150" s="34" t="s">
        <v>206</v>
      </c>
      <c r="C150" s="35">
        <v>9</v>
      </c>
      <c r="D150" s="36">
        <f>TEK.Trans.Zona1!$K$56</f>
        <v>826</v>
      </c>
      <c r="E150" s="51" t="s">
        <v>207</v>
      </c>
      <c r="F150" s="59"/>
      <c r="G150" s="31"/>
    </row>
    <row r="151" spans="1:7" ht="12" customHeight="1">
      <c r="A151" s="53">
        <f>SUM(D144:D159)</f>
        <v>36450</v>
      </c>
      <c r="B151" s="34" t="s">
        <v>206</v>
      </c>
      <c r="C151" s="35">
        <v>10</v>
      </c>
      <c r="D151" s="36">
        <f>TEK.Trans.Zona1!$L$56</f>
        <v>833</v>
      </c>
      <c r="E151" s="51" t="s">
        <v>207</v>
      </c>
      <c r="F151" s="59"/>
      <c r="G151" s="31"/>
    </row>
    <row r="152" spans="1:7" ht="12" customHeight="1">
      <c r="A152" s="52"/>
      <c r="B152" s="34" t="s">
        <v>206</v>
      </c>
      <c r="C152" s="35">
        <v>11</v>
      </c>
      <c r="D152" s="36">
        <f>TEK.Trans.Zona1!$M$56</f>
        <v>627</v>
      </c>
      <c r="E152" s="51" t="s">
        <v>207</v>
      </c>
      <c r="F152" s="59"/>
      <c r="G152" s="31"/>
    </row>
    <row r="153" spans="1:7" ht="12" customHeight="1">
      <c r="A153" s="52"/>
      <c r="B153" s="34" t="s">
        <v>206</v>
      </c>
      <c r="C153" s="35">
        <v>12</v>
      </c>
      <c r="D153" s="36">
        <f>TEK.Trans.Zona1!$N$56</f>
        <v>1991</v>
      </c>
      <c r="E153" s="51" t="s">
        <v>207</v>
      </c>
      <c r="F153" s="59"/>
      <c r="G153" s="31"/>
    </row>
    <row r="154" spans="1:7" ht="12" customHeight="1">
      <c r="A154" s="52"/>
      <c r="B154" s="34" t="s">
        <v>206</v>
      </c>
      <c r="C154" s="35">
        <v>16</v>
      </c>
      <c r="D154" s="36">
        <f>TEK.Trans.Zona1!$R$56</f>
        <v>736</v>
      </c>
      <c r="E154" s="51" t="s">
        <v>207</v>
      </c>
      <c r="F154" s="59"/>
      <c r="G154" s="31"/>
    </row>
    <row r="155" spans="1:7" ht="12" customHeight="1">
      <c r="A155" s="52"/>
      <c r="B155" s="34" t="s">
        <v>206</v>
      </c>
      <c r="C155" s="35">
        <v>17</v>
      </c>
      <c r="D155" s="36">
        <f>TEK.Trans.Zona1!$S$56</f>
        <v>2002</v>
      </c>
      <c r="E155" s="51" t="s">
        <v>207</v>
      </c>
      <c r="F155" s="59"/>
      <c r="G155" s="31"/>
    </row>
    <row r="156" spans="1:7" ht="12" customHeight="1">
      <c r="A156" s="52"/>
      <c r="B156" s="34" t="s">
        <v>206</v>
      </c>
      <c r="C156" s="35">
        <v>18</v>
      </c>
      <c r="D156" s="36">
        <f>TEK.Trans.Zona1!$T$56</f>
        <v>2235</v>
      </c>
      <c r="E156" s="51" t="s">
        <v>207</v>
      </c>
      <c r="F156" s="59"/>
      <c r="G156" s="31"/>
    </row>
    <row r="157" spans="1:7" ht="12" customHeight="1">
      <c r="A157" s="52"/>
      <c r="B157" s="34" t="s">
        <v>206</v>
      </c>
      <c r="C157" s="35">
        <v>19</v>
      </c>
      <c r="D157" s="36">
        <f>TEK.Trans.Zona1!$U$56</f>
        <v>3283</v>
      </c>
      <c r="E157" s="51" t="s">
        <v>207</v>
      </c>
      <c r="F157" s="59"/>
      <c r="G157" s="31"/>
    </row>
    <row r="158" spans="1:7" ht="12" customHeight="1">
      <c r="A158" s="52"/>
      <c r="B158" s="34" t="s">
        <v>206</v>
      </c>
      <c r="C158" s="35">
        <v>20</v>
      </c>
      <c r="D158" s="36">
        <f>TEK.Trans.Zona1!$V$56</f>
        <v>4855</v>
      </c>
      <c r="E158" s="51" t="s">
        <v>207</v>
      </c>
      <c r="F158" s="59"/>
      <c r="G158" s="31"/>
    </row>
    <row r="159" spans="1:7" ht="12" customHeight="1">
      <c r="A159" s="71"/>
      <c r="B159" s="40" t="s">
        <v>206</v>
      </c>
      <c r="C159" s="41">
        <v>21</v>
      </c>
      <c r="D159" s="36">
        <f>TEK.Trans.Zona1!$W$56</f>
        <v>1512</v>
      </c>
      <c r="E159" s="72" t="s">
        <v>207</v>
      </c>
      <c r="F159" s="83"/>
      <c r="G159" s="61"/>
    </row>
    <row r="160" spans="1:7" ht="12" customHeight="1">
      <c r="A160" s="400" t="s">
        <v>221</v>
      </c>
      <c r="B160" s="401"/>
      <c r="C160" s="62"/>
      <c r="D160" s="63"/>
      <c r="E160" s="64">
        <f>SUM(D144:D159)/A151*100</f>
        <v>100</v>
      </c>
      <c r="F160" s="65">
        <f>100-E160</f>
        <v>0</v>
      </c>
      <c r="G160" s="46">
        <f>SUM(E160:F160)</f>
        <v>100</v>
      </c>
    </row>
    <row r="161" spans="1:7" s="21" customFormat="1">
      <c r="A161" s="84"/>
      <c r="B161" s="85"/>
      <c r="C161" s="86"/>
      <c r="D161" s="87"/>
      <c r="E161" s="88"/>
      <c r="F161" s="88"/>
      <c r="G161" s="224"/>
    </row>
    <row r="162" spans="1:7" ht="18">
      <c r="A162" s="390" t="s">
        <v>196</v>
      </c>
      <c r="B162" s="390"/>
      <c r="C162" s="390"/>
      <c r="D162" s="390"/>
      <c r="E162" s="390"/>
      <c r="F162" s="390"/>
      <c r="G162" s="390"/>
    </row>
    <row r="163" spans="1:7" ht="15.75">
      <c r="A163" s="395" t="str">
        <f>$A$2</f>
        <v xml:space="preserve"> BULAN DESEMBER 2019</v>
      </c>
      <c r="B163" s="396"/>
      <c r="C163" s="396"/>
      <c r="D163" s="396"/>
      <c r="E163" s="396"/>
      <c r="F163" s="396"/>
      <c r="G163" s="396"/>
    </row>
    <row r="164" spans="1:7" ht="8.25" customHeight="1">
      <c r="A164" s="397"/>
      <c r="B164" s="397"/>
      <c r="C164" s="397"/>
      <c r="D164" s="397"/>
      <c r="E164" s="397"/>
      <c r="F164" s="397"/>
      <c r="G164" s="397"/>
    </row>
    <row r="165" spans="1:7" ht="11.1" customHeight="1">
      <c r="A165" s="379" t="s">
        <v>1</v>
      </c>
      <c r="B165" s="381" t="s">
        <v>197</v>
      </c>
      <c r="C165" s="383" t="s">
        <v>198</v>
      </c>
      <c r="D165" s="385" t="s">
        <v>199</v>
      </c>
      <c r="E165" s="376" t="s">
        <v>200</v>
      </c>
      <c r="F165" s="376"/>
      <c r="G165" s="377" t="s">
        <v>201</v>
      </c>
    </row>
    <row r="166" spans="1:7" ht="11.1" customHeight="1">
      <c r="A166" s="380"/>
      <c r="B166" s="382"/>
      <c r="C166" s="384"/>
      <c r="D166" s="386"/>
      <c r="E166" s="26" t="s">
        <v>203</v>
      </c>
      <c r="F166" s="26" t="s">
        <v>204</v>
      </c>
      <c r="G166" s="378"/>
    </row>
    <row r="167" spans="1:7" ht="11.1" customHeight="1">
      <c r="A167" s="50" t="s">
        <v>114</v>
      </c>
      <c r="B167" s="388" t="s">
        <v>213</v>
      </c>
      <c r="C167" s="389"/>
      <c r="D167" s="36"/>
      <c r="E167" s="51"/>
      <c r="F167" s="37"/>
      <c r="G167" s="31"/>
    </row>
    <row r="168" spans="1:7" ht="11.1" customHeight="1">
      <c r="A168" s="52"/>
      <c r="B168" s="34" t="s">
        <v>206</v>
      </c>
      <c r="C168" s="35">
        <v>1</v>
      </c>
      <c r="D168" s="36">
        <f>TEK.Trans.Zona1!$C$58</f>
        <v>2866</v>
      </c>
      <c r="E168" s="51" t="s">
        <v>207</v>
      </c>
      <c r="F168" s="37"/>
      <c r="G168" s="31"/>
    </row>
    <row r="169" spans="1:7" ht="11.1" customHeight="1">
      <c r="A169" s="52"/>
      <c r="B169" s="34" t="s">
        <v>206</v>
      </c>
      <c r="C169" s="35">
        <v>2</v>
      </c>
      <c r="D169" s="36">
        <f>TEK.Trans.Zona1!$D$58</f>
        <v>1702</v>
      </c>
      <c r="E169" s="51"/>
      <c r="F169" s="37" t="s">
        <v>207</v>
      </c>
      <c r="G169" s="31"/>
    </row>
    <row r="170" spans="1:7" ht="11.1" customHeight="1">
      <c r="A170" s="52"/>
      <c r="B170" s="34" t="s">
        <v>206</v>
      </c>
      <c r="C170" s="35">
        <v>3</v>
      </c>
      <c r="D170" s="36">
        <f>TEK.Trans.Zona1!$E$58</f>
        <v>1409</v>
      </c>
      <c r="E170" s="51"/>
      <c r="F170" s="37" t="s">
        <v>207</v>
      </c>
      <c r="G170" s="31"/>
    </row>
    <row r="171" spans="1:7" ht="11.1" customHeight="1">
      <c r="A171" s="52"/>
      <c r="B171" s="34" t="s">
        <v>206</v>
      </c>
      <c r="C171" s="35">
        <v>4</v>
      </c>
      <c r="D171" s="36">
        <f>TEK.Trans.Zona1!$F$58</f>
        <v>1846</v>
      </c>
      <c r="E171" s="51" t="s">
        <v>207</v>
      </c>
      <c r="F171" s="37"/>
      <c r="G171" s="31"/>
    </row>
    <row r="172" spans="1:7" ht="11.1" customHeight="1">
      <c r="A172" s="52"/>
      <c r="B172" s="34" t="s">
        <v>206</v>
      </c>
      <c r="C172" s="35">
        <v>5</v>
      </c>
      <c r="D172" s="36">
        <f>TEK.Trans.Zona1!$G$58</f>
        <v>1728</v>
      </c>
      <c r="E172" s="51"/>
      <c r="F172" s="37" t="s">
        <v>207</v>
      </c>
      <c r="G172" s="31"/>
    </row>
    <row r="173" spans="1:7" ht="11.1" customHeight="1">
      <c r="A173" s="52"/>
      <c r="B173" s="34" t="s">
        <v>206</v>
      </c>
      <c r="C173" s="35">
        <v>6</v>
      </c>
      <c r="D173" s="36">
        <f>TEK.Trans.Zona1!$H$58</f>
        <v>4170</v>
      </c>
      <c r="E173" s="51" t="s">
        <v>207</v>
      </c>
      <c r="F173" s="37"/>
      <c r="G173" s="31"/>
    </row>
    <row r="174" spans="1:7" ht="11.1" customHeight="1">
      <c r="A174" s="52"/>
      <c r="B174" s="34" t="s">
        <v>206</v>
      </c>
      <c r="C174" s="35">
        <v>7</v>
      </c>
      <c r="D174" s="36">
        <f>TEK.Trans.Zona1!$I$58</f>
        <v>1502</v>
      </c>
      <c r="E174" s="51" t="s">
        <v>207</v>
      </c>
      <c r="F174" s="37"/>
      <c r="G174" s="31"/>
    </row>
    <row r="175" spans="1:7" ht="11.1" customHeight="1">
      <c r="A175" s="52"/>
      <c r="B175" s="34" t="s">
        <v>206</v>
      </c>
      <c r="C175" s="35">
        <v>8</v>
      </c>
      <c r="D175" s="36">
        <f>TEK.Trans.Zona1!$J$58</f>
        <v>2283</v>
      </c>
      <c r="E175" s="51" t="s">
        <v>207</v>
      </c>
      <c r="F175" s="37"/>
      <c r="G175" s="31"/>
    </row>
    <row r="176" spans="1:7" ht="11.1" customHeight="1">
      <c r="A176" s="52"/>
      <c r="B176" s="34" t="s">
        <v>206</v>
      </c>
      <c r="C176" s="35">
        <v>9</v>
      </c>
      <c r="D176" s="36">
        <f>TEK.Trans.Zona1!$K$58</f>
        <v>2997</v>
      </c>
      <c r="E176" s="51" t="s">
        <v>207</v>
      </c>
      <c r="F176" s="37"/>
      <c r="G176" s="31"/>
    </row>
    <row r="177" spans="1:7" ht="11.1" customHeight="1">
      <c r="A177" s="52"/>
      <c r="B177" s="34" t="s">
        <v>206</v>
      </c>
      <c r="C177" s="35">
        <v>10</v>
      </c>
      <c r="D177" s="36">
        <f>TEK.Trans.Zona1!$L$58</f>
        <v>1785</v>
      </c>
      <c r="E177" s="51" t="s">
        <v>207</v>
      </c>
      <c r="F177" s="37"/>
      <c r="G177" s="31"/>
    </row>
    <row r="178" spans="1:7" ht="11.1" customHeight="1">
      <c r="A178" s="52"/>
      <c r="B178" s="34" t="s">
        <v>206</v>
      </c>
      <c r="C178" s="35">
        <v>11</v>
      </c>
      <c r="D178" s="36">
        <f>TEK.Trans.Zona1!$M$58</f>
        <v>2944</v>
      </c>
      <c r="E178" s="51"/>
      <c r="F178" s="37" t="s">
        <v>207</v>
      </c>
      <c r="G178" s="31"/>
    </row>
    <row r="179" spans="1:7" ht="11.1" customHeight="1">
      <c r="A179" s="53">
        <f>SUM(D168:D192)</f>
        <v>53870</v>
      </c>
      <c r="B179" s="34" t="s">
        <v>206</v>
      </c>
      <c r="C179" s="35">
        <v>12</v>
      </c>
      <c r="D179" s="36">
        <f>TEK.Trans.Zona1!$N$58</f>
        <v>563</v>
      </c>
      <c r="E179" s="51"/>
      <c r="F179" s="37" t="s">
        <v>207</v>
      </c>
      <c r="G179" s="31"/>
    </row>
    <row r="180" spans="1:7" ht="11.1" customHeight="1">
      <c r="A180" s="50"/>
      <c r="B180" s="34" t="s">
        <v>206</v>
      </c>
      <c r="C180" s="35">
        <v>14</v>
      </c>
      <c r="D180" s="36">
        <f>TEK.Trans.Zona1!$P$58</f>
        <v>4119</v>
      </c>
      <c r="E180" s="51"/>
      <c r="F180" s="37" t="s">
        <v>207</v>
      </c>
      <c r="G180" s="31"/>
    </row>
    <row r="181" spans="1:7" ht="11.1" customHeight="1">
      <c r="A181" s="52"/>
      <c r="B181" s="34" t="s">
        <v>206</v>
      </c>
      <c r="C181" s="35">
        <v>15</v>
      </c>
      <c r="D181" s="36">
        <f>TEK.Trans.Zona1!$Q$58</f>
        <v>2141</v>
      </c>
      <c r="E181" s="37" t="s">
        <v>207</v>
      </c>
      <c r="F181" s="37"/>
      <c r="G181" s="31"/>
    </row>
    <row r="182" spans="1:7" ht="11.1" customHeight="1">
      <c r="A182" s="52"/>
      <c r="B182" s="34" t="s">
        <v>206</v>
      </c>
      <c r="C182" s="35">
        <v>16</v>
      </c>
      <c r="D182" s="36">
        <f>TEK.Trans.Zona1!$R$58</f>
        <v>2253</v>
      </c>
      <c r="E182" s="51" t="s">
        <v>207</v>
      </c>
      <c r="F182" s="37"/>
      <c r="G182" s="31"/>
    </row>
    <row r="183" spans="1:7" ht="11.1" customHeight="1">
      <c r="A183" s="52"/>
      <c r="B183" s="34" t="s">
        <v>206</v>
      </c>
      <c r="C183" s="35">
        <v>17</v>
      </c>
      <c r="D183" s="36">
        <f>TEK.Trans.Zona1!$S$58</f>
        <v>3032</v>
      </c>
      <c r="E183" s="51" t="s">
        <v>207</v>
      </c>
      <c r="F183" s="37"/>
      <c r="G183" s="31"/>
    </row>
    <row r="184" spans="1:7" ht="11.1" customHeight="1">
      <c r="A184" s="52"/>
      <c r="B184" s="34" t="s">
        <v>206</v>
      </c>
      <c r="C184" s="35">
        <v>18</v>
      </c>
      <c r="D184" s="36">
        <f>TEK.Trans.Zona1!$T$58</f>
        <v>2054</v>
      </c>
      <c r="E184" s="51" t="s">
        <v>207</v>
      </c>
      <c r="F184" s="37"/>
      <c r="G184" s="31"/>
    </row>
    <row r="185" spans="1:7" ht="11.1" customHeight="1">
      <c r="A185" s="52"/>
      <c r="B185" s="34" t="s">
        <v>206</v>
      </c>
      <c r="C185" s="35">
        <v>19</v>
      </c>
      <c r="D185" s="36">
        <f>TEK.Trans.Zona1!$U$58</f>
        <v>1781</v>
      </c>
      <c r="E185" s="51" t="s">
        <v>207</v>
      </c>
      <c r="F185" s="37"/>
      <c r="G185" s="31"/>
    </row>
    <row r="186" spans="1:7" ht="11.1" customHeight="1">
      <c r="A186" s="52"/>
      <c r="B186" s="34" t="s">
        <v>206</v>
      </c>
      <c r="C186" s="35">
        <v>20</v>
      </c>
      <c r="D186" s="36">
        <f>TEK.Trans.Zona1!$V$58</f>
        <v>1552</v>
      </c>
      <c r="E186" s="51" t="s">
        <v>207</v>
      </c>
      <c r="F186" s="37"/>
      <c r="G186" s="31"/>
    </row>
    <row r="187" spans="1:7" ht="11.1" customHeight="1">
      <c r="A187" s="52"/>
      <c r="B187" s="34" t="s">
        <v>206</v>
      </c>
      <c r="C187" s="35">
        <v>21</v>
      </c>
      <c r="D187" s="36">
        <f>TEK.Trans.Zona1!$W$58</f>
        <v>3092</v>
      </c>
      <c r="E187" s="51" t="s">
        <v>207</v>
      </c>
      <c r="F187" s="37"/>
      <c r="G187" s="31"/>
    </row>
    <row r="188" spans="1:7" ht="11.1" customHeight="1">
      <c r="A188" s="52"/>
      <c r="B188" s="34" t="s">
        <v>206</v>
      </c>
      <c r="C188" s="35">
        <v>22</v>
      </c>
      <c r="D188" s="36">
        <f>TEK.Trans.Zona1!$X$58</f>
        <v>2026</v>
      </c>
      <c r="E188" s="51"/>
      <c r="F188" s="37" t="s">
        <v>207</v>
      </c>
      <c r="G188" s="31"/>
    </row>
    <row r="189" spans="1:7" ht="11.1" customHeight="1">
      <c r="A189" s="52"/>
      <c r="B189" s="34" t="s">
        <v>206</v>
      </c>
      <c r="C189" s="35">
        <v>23</v>
      </c>
      <c r="D189" s="36">
        <f>TEK.Trans.Zona1!$Y$58</f>
        <v>2322</v>
      </c>
      <c r="E189" s="51" t="s">
        <v>207</v>
      </c>
      <c r="F189" s="37"/>
      <c r="G189" s="31"/>
    </row>
    <row r="190" spans="1:7" ht="11.1" customHeight="1">
      <c r="A190" s="52"/>
      <c r="B190" s="34" t="s">
        <v>206</v>
      </c>
      <c r="C190" s="35">
        <v>24</v>
      </c>
      <c r="D190" s="36">
        <f>TEK.Trans.Zona1!$Z$58</f>
        <v>513</v>
      </c>
      <c r="E190" s="51" t="s">
        <v>207</v>
      </c>
      <c r="F190" s="37"/>
      <c r="G190" s="31"/>
    </row>
    <row r="191" spans="1:7" ht="11.1" customHeight="1">
      <c r="A191" s="52"/>
      <c r="B191" s="34" t="s">
        <v>206</v>
      </c>
      <c r="C191" s="35">
        <v>25</v>
      </c>
      <c r="D191" s="36">
        <f>TEK.Trans.Zona1!$AA$58</f>
        <v>2659</v>
      </c>
      <c r="E191" s="51" t="s">
        <v>207</v>
      </c>
      <c r="F191" s="37"/>
      <c r="G191" s="31"/>
    </row>
    <row r="192" spans="1:7" ht="11.1" customHeight="1">
      <c r="A192" s="89"/>
      <c r="B192" s="90" t="s">
        <v>206</v>
      </c>
      <c r="C192" s="91">
        <v>25</v>
      </c>
      <c r="D192" s="92">
        <f>TEK.Trans.Zona1!AB58</f>
        <v>531</v>
      </c>
      <c r="E192" s="93" t="s">
        <v>207</v>
      </c>
      <c r="F192" s="94"/>
      <c r="G192" s="95"/>
    </row>
    <row r="193" spans="1:7" ht="11.1" customHeight="1">
      <c r="A193" s="409" t="s">
        <v>221</v>
      </c>
      <c r="B193" s="410"/>
      <c r="C193" s="96"/>
      <c r="D193" s="97"/>
      <c r="E193" s="98">
        <f>SUM(D168,D171,D173,D174,D175,D176,D177,D181,D182,D183,D184,D186,D185,D187,D189,D190,D191,D192)/A179*100</f>
        <v>73.100055689623161</v>
      </c>
      <c r="F193" s="99">
        <f>100-E193</f>
        <v>26.899944310376839</v>
      </c>
      <c r="G193" s="100">
        <f>SUM(E193:F193)</f>
        <v>100</v>
      </c>
    </row>
    <row r="194" spans="1:7" ht="11.1" customHeight="1">
      <c r="A194" s="379" t="s">
        <v>1</v>
      </c>
      <c r="B194" s="381" t="s">
        <v>197</v>
      </c>
      <c r="C194" s="383" t="s">
        <v>198</v>
      </c>
      <c r="D194" s="385" t="s">
        <v>199</v>
      </c>
      <c r="E194" s="376" t="s">
        <v>200</v>
      </c>
      <c r="F194" s="376"/>
      <c r="G194" s="377" t="s">
        <v>201</v>
      </c>
    </row>
    <row r="195" spans="1:7" ht="11.1" customHeight="1">
      <c r="A195" s="380"/>
      <c r="B195" s="382"/>
      <c r="C195" s="384"/>
      <c r="D195" s="386"/>
      <c r="E195" s="26" t="s">
        <v>203</v>
      </c>
      <c r="F195" s="26" t="s">
        <v>204</v>
      </c>
      <c r="G195" s="378"/>
    </row>
    <row r="196" spans="1:7" ht="11.1" customHeight="1">
      <c r="A196" s="50" t="s">
        <v>140</v>
      </c>
      <c r="B196" s="374" t="s">
        <v>214</v>
      </c>
      <c r="C196" s="375"/>
      <c r="D196" s="36"/>
      <c r="E196" s="51"/>
      <c r="F196" s="37"/>
      <c r="G196" s="31"/>
    </row>
    <row r="197" spans="1:7" ht="11.1" customHeight="1">
      <c r="A197" s="52"/>
      <c r="B197" s="34" t="s">
        <v>206</v>
      </c>
      <c r="C197" s="35">
        <v>1</v>
      </c>
      <c r="D197" s="36">
        <f>TEK.Trans.Zona1!$C$60</f>
        <v>1886</v>
      </c>
      <c r="E197" s="51" t="s">
        <v>207</v>
      </c>
      <c r="F197" s="37"/>
      <c r="G197" s="31"/>
    </row>
    <row r="198" spans="1:7" ht="11.1" customHeight="1">
      <c r="A198" s="52"/>
      <c r="B198" s="34" t="s">
        <v>206</v>
      </c>
      <c r="C198" s="35">
        <v>2</v>
      </c>
      <c r="D198" s="36">
        <f>TEK.Trans.Zona1!$D$60</f>
        <v>3844</v>
      </c>
      <c r="E198" s="37"/>
      <c r="F198" s="51" t="s">
        <v>207</v>
      </c>
      <c r="G198" s="31"/>
    </row>
    <row r="199" spans="1:7" ht="11.1" customHeight="1">
      <c r="A199" s="52"/>
      <c r="B199" s="34" t="s">
        <v>206</v>
      </c>
      <c r="C199" s="35">
        <v>3</v>
      </c>
      <c r="D199" s="36">
        <f>TEK.Trans.Zona1!$E$60</f>
        <v>2295</v>
      </c>
      <c r="E199" s="51"/>
      <c r="F199" s="37" t="s">
        <v>207</v>
      </c>
      <c r="G199" s="31"/>
    </row>
    <row r="200" spans="1:7" ht="11.1" customHeight="1">
      <c r="A200" s="52"/>
      <c r="B200" s="34" t="s">
        <v>206</v>
      </c>
      <c r="C200" s="35">
        <v>4</v>
      </c>
      <c r="D200" s="36">
        <f>TEK.Trans.Zona1!$F$60</f>
        <v>676</v>
      </c>
      <c r="E200" s="51" t="s">
        <v>207</v>
      </c>
      <c r="F200" s="37"/>
      <c r="G200" s="31"/>
    </row>
    <row r="201" spans="1:7" ht="11.1" customHeight="1">
      <c r="A201" s="101"/>
      <c r="B201" s="34" t="s">
        <v>206</v>
      </c>
      <c r="C201" s="35">
        <v>5</v>
      </c>
      <c r="D201" s="36">
        <f>TEK.Trans.Zona1!$G$60</f>
        <v>2090</v>
      </c>
      <c r="E201" s="51" t="s">
        <v>207</v>
      </c>
      <c r="F201" s="37"/>
      <c r="G201" s="31"/>
    </row>
    <row r="202" spans="1:7" ht="11.1" customHeight="1">
      <c r="A202" s="102">
        <f>SUM(D197:D207)</f>
        <v>27581</v>
      </c>
      <c r="B202" s="34" t="s">
        <v>206</v>
      </c>
      <c r="C202" s="35">
        <v>6</v>
      </c>
      <c r="D202" s="36">
        <f>TEK.Trans.Zona1!$H$60</f>
        <v>1384</v>
      </c>
      <c r="E202" s="51"/>
      <c r="F202" s="37" t="s">
        <v>207</v>
      </c>
      <c r="G202" s="31"/>
    </row>
    <row r="203" spans="1:7" ht="11.1" customHeight="1">
      <c r="A203" s="52"/>
      <c r="B203" s="34" t="s">
        <v>206</v>
      </c>
      <c r="C203" s="35">
        <v>7</v>
      </c>
      <c r="D203" s="36">
        <f>TEK.Trans.Zona1!$I$60</f>
        <v>1575</v>
      </c>
      <c r="E203" s="51" t="s">
        <v>207</v>
      </c>
      <c r="F203" s="37"/>
      <c r="G203" s="31"/>
    </row>
    <row r="204" spans="1:7" ht="11.1" customHeight="1">
      <c r="A204" s="52"/>
      <c r="B204" s="34" t="s">
        <v>206</v>
      </c>
      <c r="C204" s="35">
        <v>8</v>
      </c>
      <c r="D204" s="36">
        <f>TEK.Trans.Zona1!$J$60</f>
        <v>2645</v>
      </c>
      <c r="E204" s="51"/>
      <c r="F204" s="37" t="s">
        <v>207</v>
      </c>
      <c r="G204" s="31"/>
    </row>
    <row r="205" spans="1:7" ht="11.1" customHeight="1">
      <c r="A205" s="52"/>
      <c r="B205" s="34" t="s">
        <v>206</v>
      </c>
      <c r="C205" s="35">
        <v>9</v>
      </c>
      <c r="D205" s="36">
        <f>TEK.Trans.Zona1!$K$60</f>
        <v>834</v>
      </c>
      <c r="E205" s="51"/>
      <c r="F205" s="37" t="s">
        <v>207</v>
      </c>
      <c r="G205" s="31"/>
    </row>
    <row r="206" spans="1:7" ht="11.1" customHeight="1">
      <c r="A206" s="52"/>
      <c r="B206" s="34" t="s">
        <v>206</v>
      </c>
      <c r="C206" s="35">
        <v>10</v>
      </c>
      <c r="D206" s="36">
        <f>TEK.Trans.Zona1!$L$60</f>
        <v>5512</v>
      </c>
      <c r="E206" s="51" t="s">
        <v>207</v>
      </c>
      <c r="F206" s="37"/>
      <c r="G206" s="31"/>
    </row>
    <row r="207" spans="1:7" ht="11.1" customHeight="1">
      <c r="A207" s="52"/>
      <c r="B207" s="34" t="s">
        <v>206</v>
      </c>
      <c r="C207" s="35">
        <v>11</v>
      </c>
      <c r="D207" s="36">
        <f>TEK.Trans.Zona1!$M$60</f>
        <v>4840</v>
      </c>
      <c r="E207" s="51"/>
      <c r="F207" s="37" t="s">
        <v>207</v>
      </c>
      <c r="G207" s="31"/>
    </row>
    <row r="208" spans="1:7" ht="11.1" customHeight="1">
      <c r="A208" s="393" t="s">
        <v>221</v>
      </c>
      <c r="B208" s="394"/>
      <c r="C208" s="54"/>
      <c r="D208" s="55"/>
      <c r="E208" s="56">
        <f>SUM(D197,D200:D201,D203,D206,)/A202*100</f>
        <v>42.561908560240745</v>
      </c>
      <c r="F208" s="57">
        <f>100-E208</f>
        <v>57.438091439759255</v>
      </c>
      <c r="G208" s="58">
        <f>SUM(E208:F208)</f>
        <v>100</v>
      </c>
    </row>
    <row r="209" spans="1:7" ht="11.1" customHeight="1">
      <c r="A209" s="379" t="s">
        <v>1</v>
      </c>
      <c r="B209" s="381" t="s">
        <v>197</v>
      </c>
      <c r="C209" s="383" t="s">
        <v>198</v>
      </c>
      <c r="D209" s="385" t="s">
        <v>199</v>
      </c>
      <c r="E209" s="376" t="s">
        <v>200</v>
      </c>
      <c r="F209" s="376"/>
      <c r="G209" s="377" t="s">
        <v>201</v>
      </c>
    </row>
    <row r="210" spans="1:7" ht="11.1" customHeight="1">
      <c r="A210" s="380"/>
      <c r="B210" s="382"/>
      <c r="C210" s="384"/>
      <c r="D210" s="386"/>
      <c r="E210" s="26" t="s">
        <v>203</v>
      </c>
      <c r="F210" s="26" t="s">
        <v>204</v>
      </c>
      <c r="G210" s="378"/>
    </row>
    <row r="211" spans="1:7" ht="11.1" customHeight="1">
      <c r="A211" s="50" t="s">
        <v>149</v>
      </c>
      <c r="B211" s="388" t="s">
        <v>215</v>
      </c>
      <c r="C211" s="389"/>
      <c r="D211" s="36"/>
      <c r="E211" s="51"/>
      <c r="F211" s="59"/>
      <c r="G211" s="31"/>
    </row>
    <row r="212" spans="1:7" ht="11.1" customHeight="1">
      <c r="A212" s="52"/>
      <c r="B212" s="34" t="s">
        <v>206</v>
      </c>
      <c r="C212" s="35">
        <v>5</v>
      </c>
      <c r="D212" s="36">
        <f>TEK.Trans.Zona1!$G$62</f>
        <v>2454</v>
      </c>
      <c r="E212" s="51" t="s">
        <v>207</v>
      </c>
      <c r="F212" s="59"/>
      <c r="G212" s="31"/>
    </row>
    <row r="213" spans="1:7" ht="11.1" customHeight="1">
      <c r="A213" s="52"/>
      <c r="B213" s="34" t="s">
        <v>206</v>
      </c>
      <c r="C213" s="35">
        <v>6</v>
      </c>
      <c r="D213" s="36">
        <f>TEK.Trans.Zona1!$H$62</f>
        <v>3634</v>
      </c>
      <c r="E213" s="51" t="s">
        <v>207</v>
      </c>
      <c r="F213" s="59"/>
      <c r="G213" s="31"/>
    </row>
    <row r="214" spans="1:7" ht="11.1" customHeight="1">
      <c r="A214" s="52"/>
      <c r="B214" s="34" t="s">
        <v>206</v>
      </c>
      <c r="C214" s="35">
        <v>7</v>
      </c>
      <c r="D214" s="36">
        <f>TEK.Trans.Zona1!$I$62</f>
        <v>5850</v>
      </c>
      <c r="E214" s="51" t="s">
        <v>207</v>
      </c>
      <c r="F214" s="59"/>
      <c r="G214" s="31"/>
    </row>
    <row r="215" spans="1:7" ht="11.1" customHeight="1">
      <c r="A215" s="52"/>
      <c r="B215" s="34" t="s">
        <v>206</v>
      </c>
      <c r="C215" s="35">
        <v>8</v>
      </c>
      <c r="D215" s="36">
        <f>TEK.Trans.Zona1!$J$62</f>
        <v>3124</v>
      </c>
      <c r="E215" s="51"/>
      <c r="F215" s="59" t="s">
        <v>207</v>
      </c>
      <c r="G215" s="31"/>
    </row>
    <row r="216" spans="1:7" ht="11.1" customHeight="1">
      <c r="A216" s="52"/>
      <c r="B216" s="34" t="s">
        <v>206</v>
      </c>
      <c r="C216" s="35">
        <v>9</v>
      </c>
      <c r="D216" s="36">
        <f>TEK.Trans.Zona1!$K$62</f>
        <v>3757</v>
      </c>
      <c r="E216" s="51" t="s">
        <v>207</v>
      </c>
      <c r="F216" s="59"/>
      <c r="G216" s="31"/>
    </row>
    <row r="217" spans="1:7" ht="11.1" customHeight="1">
      <c r="A217" s="52"/>
      <c r="B217" s="34" t="s">
        <v>206</v>
      </c>
      <c r="C217" s="35">
        <v>10</v>
      </c>
      <c r="D217" s="36">
        <f>TEK.Trans.Zona1!$L$62</f>
        <v>3050</v>
      </c>
      <c r="E217" s="51" t="s">
        <v>207</v>
      </c>
      <c r="F217" s="59"/>
      <c r="G217" s="31"/>
    </row>
    <row r="218" spans="1:7" ht="11.1" customHeight="1">
      <c r="A218" s="53">
        <f>SUM(D212:D225)</f>
        <v>41571</v>
      </c>
      <c r="B218" s="34" t="s">
        <v>206</v>
      </c>
      <c r="C218" s="35">
        <v>11</v>
      </c>
      <c r="D218" s="36">
        <f>TEK.Trans.Zona1!$M$62</f>
        <v>2816</v>
      </c>
      <c r="E218" s="51" t="s">
        <v>207</v>
      </c>
      <c r="F218" s="59"/>
      <c r="G218" s="31"/>
    </row>
    <row r="219" spans="1:7" ht="11.1" customHeight="1">
      <c r="A219" s="52"/>
      <c r="B219" s="34" t="s">
        <v>206</v>
      </c>
      <c r="C219" s="35">
        <v>12</v>
      </c>
      <c r="D219" s="36">
        <f>TEK.Trans.Zona1!$N$62</f>
        <v>2025</v>
      </c>
      <c r="E219" s="51" t="s">
        <v>207</v>
      </c>
      <c r="F219" s="59"/>
      <c r="G219" s="31"/>
    </row>
    <row r="220" spans="1:7" ht="11.1" customHeight="1">
      <c r="A220" s="52"/>
      <c r="B220" s="34" t="s">
        <v>206</v>
      </c>
      <c r="C220" s="35">
        <v>13</v>
      </c>
      <c r="D220" s="36">
        <f>TEK.Trans.Zona1!$O$62</f>
        <v>1871</v>
      </c>
      <c r="E220" s="51" t="s">
        <v>207</v>
      </c>
      <c r="F220" s="59"/>
      <c r="G220" s="31"/>
    </row>
    <row r="221" spans="1:7" ht="11.1" customHeight="1">
      <c r="A221" s="52"/>
      <c r="B221" s="34" t="s">
        <v>206</v>
      </c>
      <c r="C221" s="35">
        <v>14</v>
      </c>
      <c r="D221" s="36">
        <f>TEK.Trans.Zona1!$P$62</f>
        <v>2363</v>
      </c>
      <c r="E221" s="51" t="s">
        <v>207</v>
      </c>
      <c r="F221" s="59"/>
      <c r="G221" s="31"/>
    </row>
    <row r="222" spans="1:7" ht="11.1" customHeight="1">
      <c r="A222" s="52"/>
      <c r="B222" s="34" t="s">
        <v>206</v>
      </c>
      <c r="C222" s="35">
        <v>16</v>
      </c>
      <c r="D222" s="36">
        <f>TEK.Trans.Zona1!$R$62</f>
        <v>3247</v>
      </c>
      <c r="E222" s="51"/>
      <c r="F222" s="59" t="s">
        <v>207</v>
      </c>
      <c r="G222" s="31"/>
    </row>
    <row r="223" spans="1:7" ht="11.1" customHeight="1">
      <c r="A223" s="52"/>
      <c r="B223" s="34" t="s">
        <v>206</v>
      </c>
      <c r="C223" s="35">
        <v>17</v>
      </c>
      <c r="D223" s="36">
        <f>TEK.Trans.Zona1!$S$62</f>
        <v>894</v>
      </c>
      <c r="E223" s="51" t="s">
        <v>207</v>
      </c>
      <c r="F223" s="59"/>
      <c r="G223" s="31"/>
    </row>
    <row r="224" spans="1:7" ht="11.1" customHeight="1">
      <c r="A224" s="52"/>
      <c r="B224" s="34" t="s">
        <v>206</v>
      </c>
      <c r="C224" s="35">
        <v>22</v>
      </c>
      <c r="D224" s="36">
        <f>TEK.Trans.Zona1!$X$62</f>
        <v>3862</v>
      </c>
      <c r="E224" s="59" t="s">
        <v>207</v>
      </c>
      <c r="F224" s="59"/>
      <c r="G224" s="31"/>
    </row>
    <row r="225" spans="1:7" ht="11.1" customHeight="1">
      <c r="A225" s="71"/>
      <c r="B225" s="40" t="s">
        <v>206</v>
      </c>
      <c r="C225" s="41">
        <v>23</v>
      </c>
      <c r="D225" s="36">
        <f>TEK.Trans.Zona1!$Y$62</f>
        <v>2624</v>
      </c>
      <c r="E225" s="72"/>
      <c r="F225" s="83" t="s">
        <v>207</v>
      </c>
      <c r="G225" s="61"/>
    </row>
    <row r="226" spans="1:7" ht="11.1" customHeight="1">
      <c r="A226" s="398" t="s">
        <v>221</v>
      </c>
      <c r="B226" s="399"/>
      <c r="C226" s="74"/>
      <c r="D226" s="75"/>
      <c r="E226" s="76">
        <f>SUM(D212:D214,D216:D218,D219:D221,D223:D224)/A218*100</f>
        <v>78.362319886459304</v>
      </c>
      <c r="F226" s="103">
        <f>100-E226</f>
        <v>21.637680113540696</v>
      </c>
      <c r="G226" s="46">
        <f>SUM(E226:F226)</f>
        <v>100</v>
      </c>
    </row>
    <row r="227" spans="1:7" ht="11.1" customHeight="1">
      <c r="A227" s="379" t="s">
        <v>1</v>
      </c>
      <c r="B227" s="381" t="s">
        <v>197</v>
      </c>
      <c r="C227" s="383" t="s">
        <v>198</v>
      </c>
      <c r="D227" s="385" t="s">
        <v>199</v>
      </c>
      <c r="E227" s="376" t="s">
        <v>200</v>
      </c>
      <c r="F227" s="376"/>
      <c r="G227" s="377" t="s">
        <v>201</v>
      </c>
    </row>
    <row r="228" spans="1:7" ht="11.1" customHeight="1">
      <c r="A228" s="380"/>
      <c r="B228" s="382"/>
      <c r="C228" s="384"/>
      <c r="D228" s="386"/>
      <c r="E228" s="26" t="s">
        <v>203</v>
      </c>
      <c r="F228" s="26" t="s">
        <v>204</v>
      </c>
      <c r="G228" s="378"/>
    </row>
    <row r="229" spans="1:7" ht="11.1" customHeight="1">
      <c r="A229" s="27" t="s">
        <v>164</v>
      </c>
      <c r="B229" s="411" t="s">
        <v>222</v>
      </c>
      <c r="C229" s="412"/>
      <c r="D229" s="77"/>
      <c r="E229" s="51"/>
      <c r="F229" s="30"/>
      <c r="G229" s="31"/>
    </row>
    <row r="230" spans="1:7" ht="11.1" customHeight="1">
      <c r="A230" s="33"/>
      <c r="B230" s="78" t="s">
        <v>206</v>
      </c>
      <c r="C230" s="35">
        <v>2</v>
      </c>
      <c r="D230" s="36">
        <f>TEK.Trans.Zona1!$D$64</f>
        <v>2891</v>
      </c>
      <c r="E230" s="51" t="s">
        <v>207</v>
      </c>
      <c r="F230" s="30"/>
      <c r="G230" s="31"/>
    </row>
    <row r="231" spans="1:7" ht="11.1" customHeight="1">
      <c r="A231" s="33"/>
      <c r="B231" s="78" t="s">
        <v>206</v>
      </c>
      <c r="C231" s="35">
        <v>3</v>
      </c>
      <c r="D231" s="36">
        <f>TEK.Trans.Zona1!$E$64</f>
        <v>2323</v>
      </c>
      <c r="E231" s="51" t="s">
        <v>207</v>
      </c>
      <c r="F231" s="30"/>
      <c r="G231" s="31"/>
    </row>
    <row r="232" spans="1:7" ht="11.1" customHeight="1">
      <c r="A232" s="33"/>
      <c r="B232" s="78" t="s">
        <v>206</v>
      </c>
      <c r="C232" s="35">
        <v>8</v>
      </c>
      <c r="D232" s="36">
        <f>TEK.Trans.Zona1!$J$64</f>
        <v>1465</v>
      </c>
      <c r="E232" s="51" t="s">
        <v>207</v>
      </c>
      <c r="F232" s="30"/>
      <c r="G232" s="31"/>
    </row>
    <row r="233" spans="1:7" ht="11.1" customHeight="1">
      <c r="A233" s="33"/>
      <c r="B233" s="78" t="s">
        <v>206</v>
      </c>
      <c r="C233" s="35">
        <v>9</v>
      </c>
      <c r="D233" s="36">
        <f>TEK.Trans.Zona1!$K$64</f>
        <v>1387</v>
      </c>
      <c r="E233" s="51" t="s">
        <v>207</v>
      </c>
      <c r="F233" s="30"/>
      <c r="G233" s="31"/>
    </row>
    <row r="234" spans="1:7" ht="11.1" customHeight="1">
      <c r="A234" s="33"/>
      <c r="B234" s="78" t="s">
        <v>206</v>
      </c>
      <c r="C234" s="35">
        <v>10</v>
      </c>
      <c r="D234" s="36">
        <f>TEK.Trans.Zona1!$L$64</f>
        <v>2271</v>
      </c>
      <c r="E234" s="51" t="s">
        <v>207</v>
      </c>
      <c r="F234" s="30"/>
      <c r="G234" s="31"/>
    </row>
    <row r="235" spans="1:7" ht="11.1" customHeight="1">
      <c r="A235" s="33"/>
      <c r="B235" s="78" t="s">
        <v>206</v>
      </c>
      <c r="C235" s="35">
        <v>12</v>
      </c>
      <c r="D235" s="36">
        <f>TEK.Trans.Zona1!$N$64</f>
        <v>1965</v>
      </c>
      <c r="E235" s="51"/>
      <c r="F235" s="30" t="s">
        <v>207</v>
      </c>
      <c r="G235" s="31"/>
    </row>
    <row r="236" spans="1:7" ht="11.1" customHeight="1">
      <c r="A236" s="39">
        <f>SUM(D230:D242)</f>
        <v>27176</v>
      </c>
      <c r="B236" s="78" t="s">
        <v>206</v>
      </c>
      <c r="C236" s="35">
        <v>16</v>
      </c>
      <c r="D236" s="36">
        <f>TEK.Trans.Zona1!$R$64</f>
        <v>2934</v>
      </c>
      <c r="E236" s="51" t="s">
        <v>207</v>
      </c>
      <c r="F236" s="30"/>
      <c r="G236" s="31"/>
    </row>
    <row r="237" spans="1:7" ht="11.1" customHeight="1">
      <c r="A237" s="33"/>
      <c r="B237" s="78" t="s">
        <v>206</v>
      </c>
      <c r="C237" s="35">
        <v>17</v>
      </c>
      <c r="D237" s="36">
        <f>TEK.Trans.Zona1!$S$64</f>
        <v>1067</v>
      </c>
      <c r="E237" s="51" t="s">
        <v>207</v>
      </c>
      <c r="F237" s="30"/>
      <c r="G237" s="31"/>
    </row>
    <row r="238" spans="1:7" ht="11.1" customHeight="1">
      <c r="A238" s="33"/>
      <c r="B238" s="78" t="s">
        <v>206</v>
      </c>
      <c r="C238" s="35">
        <v>18</v>
      </c>
      <c r="D238" s="36">
        <f>TEK.Trans.Zona1!$T$64</f>
        <v>3104</v>
      </c>
      <c r="E238" s="51" t="s">
        <v>207</v>
      </c>
      <c r="F238" s="30"/>
      <c r="G238" s="31"/>
    </row>
    <row r="239" spans="1:7" ht="11.1" customHeight="1">
      <c r="A239" s="33"/>
      <c r="B239" s="78" t="s">
        <v>206</v>
      </c>
      <c r="C239" s="35">
        <v>19</v>
      </c>
      <c r="D239" s="36">
        <f>TEK.Trans.Zona1!$U$64</f>
        <v>2494</v>
      </c>
      <c r="E239" s="51"/>
      <c r="F239" s="30" t="s">
        <v>207</v>
      </c>
      <c r="G239" s="31"/>
    </row>
    <row r="240" spans="1:7" ht="11.1" customHeight="1">
      <c r="A240" s="33"/>
      <c r="B240" s="78" t="s">
        <v>206</v>
      </c>
      <c r="C240" s="35">
        <v>20</v>
      </c>
      <c r="D240" s="36">
        <f>TEK.Trans.Zona1!$V$64</f>
        <v>1980</v>
      </c>
      <c r="E240" s="37"/>
      <c r="F240" s="51" t="s">
        <v>207</v>
      </c>
      <c r="G240" s="31"/>
    </row>
    <row r="241" spans="1:7" ht="11.1" customHeight="1">
      <c r="A241" s="33"/>
      <c r="B241" s="78" t="s">
        <v>206</v>
      </c>
      <c r="C241" s="35">
        <v>21</v>
      </c>
      <c r="D241" s="36">
        <f>TEK.Trans.Zona1!$W$64</f>
        <v>1813</v>
      </c>
      <c r="E241" s="51" t="s">
        <v>207</v>
      </c>
      <c r="F241" s="30"/>
      <c r="G241" s="31"/>
    </row>
    <row r="242" spans="1:7" ht="11.1" customHeight="1">
      <c r="A242" s="33"/>
      <c r="B242" s="80" t="s">
        <v>206</v>
      </c>
      <c r="C242" s="41">
        <v>24</v>
      </c>
      <c r="D242" s="36">
        <f>TEK.Trans.Zona1!$Z$64</f>
        <v>1482</v>
      </c>
      <c r="E242" s="51" t="s">
        <v>207</v>
      </c>
      <c r="F242" s="30"/>
      <c r="G242" s="31"/>
    </row>
    <row r="243" spans="1:7" ht="11.1" customHeight="1">
      <c r="A243" s="400" t="s">
        <v>221</v>
      </c>
      <c r="B243" s="401"/>
      <c r="C243" s="104"/>
      <c r="D243" s="105"/>
      <c r="E243" s="64">
        <f>SUM(D230:D234,D236:D238,D241:D242)/A236*100</f>
        <v>76.306299676184878</v>
      </c>
      <c r="F243" s="106">
        <f>100-E243</f>
        <v>23.693700323815122</v>
      </c>
      <c r="G243" s="66">
        <f>SUM(E243:F243)</f>
        <v>100</v>
      </c>
    </row>
    <row r="244" spans="1:7">
      <c r="A244" s="67"/>
      <c r="B244" s="68"/>
      <c r="C244" s="51"/>
      <c r="D244" s="69"/>
      <c r="E244" s="70"/>
      <c r="F244" s="70"/>
      <c r="G244" s="224"/>
    </row>
    <row r="245" spans="1:7" ht="18">
      <c r="A245" s="387" t="s">
        <v>196</v>
      </c>
      <c r="B245" s="387"/>
      <c r="C245" s="387"/>
      <c r="D245" s="387"/>
      <c r="E245" s="387"/>
      <c r="F245" s="387"/>
      <c r="G245" s="387"/>
    </row>
    <row r="246" spans="1:7" ht="15.75">
      <c r="A246" s="391" t="str">
        <f>$A$2</f>
        <v xml:space="preserve"> BULAN DESEMBER 2019</v>
      </c>
      <c r="B246" s="392"/>
      <c r="C246" s="392"/>
      <c r="D246" s="392"/>
      <c r="E246" s="392"/>
      <c r="F246" s="392"/>
      <c r="G246" s="392"/>
    </row>
    <row r="247" spans="1:7" ht="8.25" customHeight="1">
      <c r="A247" s="387"/>
      <c r="B247" s="387"/>
      <c r="C247" s="387"/>
      <c r="D247" s="387"/>
      <c r="E247" s="387"/>
      <c r="F247" s="387"/>
      <c r="G247" s="387"/>
    </row>
    <row r="248" spans="1:7">
      <c r="A248" s="379" t="s">
        <v>1</v>
      </c>
      <c r="B248" s="381" t="s">
        <v>197</v>
      </c>
      <c r="C248" s="383" t="s">
        <v>198</v>
      </c>
      <c r="D248" s="385" t="s">
        <v>199</v>
      </c>
      <c r="E248" s="376" t="s">
        <v>200</v>
      </c>
      <c r="F248" s="376"/>
      <c r="G248" s="377" t="s">
        <v>201</v>
      </c>
    </row>
    <row r="249" spans="1:7">
      <c r="A249" s="380"/>
      <c r="B249" s="382"/>
      <c r="C249" s="384"/>
      <c r="D249" s="386"/>
      <c r="E249" s="26" t="s">
        <v>203</v>
      </c>
      <c r="F249" s="26" t="s">
        <v>204</v>
      </c>
      <c r="G249" s="378"/>
    </row>
    <row r="250" spans="1:7">
      <c r="A250" s="50" t="s">
        <v>180</v>
      </c>
      <c r="B250" s="388" t="s">
        <v>217</v>
      </c>
      <c r="C250" s="389"/>
      <c r="D250" s="107"/>
      <c r="E250" s="34"/>
      <c r="F250" s="29"/>
      <c r="G250" s="31"/>
    </row>
    <row r="251" spans="1:7">
      <c r="A251" s="52"/>
      <c r="B251" s="34" t="s">
        <v>206</v>
      </c>
      <c r="C251" s="35">
        <v>1</v>
      </c>
      <c r="D251" s="36">
        <f>TEK.Trans.Zona1!$C$66</f>
        <v>1054</v>
      </c>
      <c r="E251" s="30"/>
      <c r="F251" s="37" t="s">
        <v>207</v>
      </c>
      <c r="G251" s="108"/>
    </row>
    <row r="252" spans="1:7">
      <c r="A252" s="52"/>
      <c r="B252" s="34" t="s">
        <v>206</v>
      </c>
      <c r="C252" s="35">
        <v>2</v>
      </c>
      <c r="D252" s="36">
        <f>TEK.Trans.Zona1!$D$66</f>
        <v>1155</v>
      </c>
      <c r="E252" s="30"/>
      <c r="F252" s="37" t="s">
        <v>207</v>
      </c>
      <c r="G252" s="108"/>
    </row>
    <row r="253" spans="1:7">
      <c r="A253" s="52"/>
      <c r="B253" s="34" t="s">
        <v>206</v>
      </c>
      <c r="C253" s="35">
        <v>3</v>
      </c>
      <c r="D253" s="36">
        <f>TEK.Trans.Zona1!$E$66</f>
        <v>2709</v>
      </c>
      <c r="E253" s="37" t="s">
        <v>207</v>
      </c>
      <c r="F253" s="37"/>
      <c r="G253" s="31"/>
    </row>
    <row r="254" spans="1:7">
      <c r="A254" s="52"/>
      <c r="B254" s="34" t="s">
        <v>206</v>
      </c>
      <c r="C254" s="35">
        <v>4</v>
      </c>
      <c r="D254" s="36">
        <f>TEK.Trans.Zona1!$F$66</f>
        <v>2187</v>
      </c>
      <c r="E254" s="37" t="s">
        <v>207</v>
      </c>
      <c r="F254" s="37"/>
      <c r="G254" s="31"/>
    </row>
    <row r="255" spans="1:7">
      <c r="A255" s="52"/>
      <c r="B255" s="34" t="s">
        <v>206</v>
      </c>
      <c r="C255" s="35">
        <v>5</v>
      </c>
      <c r="D255" s="36">
        <f>TEK.Trans.Zona1!$G$66</f>
        <v>2453</v>
      </c>
      <c r="E255" s="30"/>
      <c r="F255" s="37" t="s">
        <v>207</v>
      </c>
      <c r="G255" s="108"/>
    </row>
    <row r="256" spans="1:7">
      <c r="A256" s="52"/>
      <c r="B256" s="34" t="s">
        <v>206</v>
      </c>
      <c r="C256" s="35">
        <v>6</v>
      </c>
      <c r="D256" s="36">
        <f>TEK.Trans.Zona1!$H$66</f>
        <v>1432</v>
      </c>
      <c r="E256" s="30"/>
      <c r="F256" s="37" t="s">
        <v>207</v>
      </c>
      <c r="G256" s="108"/>
    </row>
    <row r="257" spans="1:8">
      <c r="A257" s="52"/>
      <c r="B257" s="34" t="s">
        <v>206</v>
      </c>
      <c r="C257" s="35">
        <v>7</v>
      </c>
      <c r="D257" s="36">
        <f>TEK.Trans.Zona1!$I$66</f>
        <v>2661</v>
      </c>
      <c r="E257" s="30" t="s">
        <v>207</v>
      </c>
      <c r="F257" s="37"/>
      <c r="G257" s="31"/>
    </row>
    <row r="258" spans="1:8">
      <c r="A258" s="52"/>
      <c r="B258" s="34" t="s">
        <v>206</v>
      </c>
      <c r="C258" s="35">
        <v>8</v>
      </c>
      <c r="D258" s="36">
        <f>TEK.Trans.Zona1!$J$66</f>
        <v>1439</v>
      </c>
      <c r="E258" s="30" t="s">
        <v>207</v>
      </c>
      <c r="F258" s="37"/>
      <c r="G258" s="31"/>
    </row>
    <row r="259" spans="1:8">
      <c r="A259" s="53">
        <f>SUM(D251:D266)</f>
        <v>32179</v>
      </c>
      <c r="B259" s="34" t="s">
        <v>206</v>
      </c>
      <c r="C259" s="35">
        <v>9</v>
      </c>
      <c r="D259" s="36">
        <f>TEK.Trans.Zona1!$K$66</f>
        <v>2232</v>
      </c>
      <c r="E259" s="30"/>
      <c r="F259" s="37" t="s">
        <v>207</v>
      </c>
      <c r="G259" s="108"/>
    </row>
    <row r="260" spans="1:8">
      <c r="A260" s="52"/>
      <c r="B260" s="34" t="s">
        <v>206</v>
      </c>
      <c r="C260" s="35">
        <v>12</v>
      </c>
      <c r="D260" s="36">
        <f>TEK.Trans.Zona1!$N$66</f>
        <v>3130</v>
      </c>
      <c r="E260" s="30"/>
      <c r="F260" s="37" t="s">
        <v>207</v>
      </c>
      <c r="G260" s="108"/>
      <c r="H260" t="s">
        <v>285</v>
      </c>
    </row>
    <row r="261" spans="1:8">
      <c r="A261" s="52"/>
      <c r="B261" s="34" t="s">
        <v>206</v>
      </c>
      <c r="C261" s="35">
        <v>13</v>
      </c>
      <c r="D261" s="36">
        <f>TEK.Trans.Zona1!$O$66</f>
        <v>2595</v>
      </c>
      <c r="E261" s="30"/>
      <c r="F261" s="37" t="s">
        <v>207</v>
      </c>
      <c r="G261" s="108"/>
    </row>
    <row r="262" spans="1:8">
      <c r="A262" s="52"/>
      <c r="B262" s="34" t="s">
        <v>206</v>
      </c>
      <c r="C262" s="35">
        <v>14</v>
      </c>
      <c r="D262" s="36">
        <f>TEK.Trans.Zona1!$P$66</f>
        <v>1938</v>
      </c>
      <c r="E262" s="30"/>
      <c r="F262" s="37" t="s">
        <v>207</v>
      </c>
      <c r="G262" s="108"/>
    </row>
    <row r="263" spans="1:8">
      <c r="A263" s="52"/>
      <c r="B263" s="34" t="s">
        <v>206</v>
      </c>
      <c r="C263" s="35">
        <v>15</v>
      </c>
      <c r="D263" s="36">
        <f>TEK.Trans.Zona1!$Q$66</f>
        <v>1295</v>
      </c>
      <c r="E263" s="30"/>
      <c r="F263" s="37" t="s">
        <v>207</v>
      </c>
      <c r="G263" s="108"/>
    </row>
    <row r="264" spans="1:8">
      <c r="A264" s="52"/>
      <c r="B264" s="34" t="s">
        <v>206</v>
      </c>
      <c r="C264" s="35">
        <v>20</v>
      </c>
      <c r="D264" s="36">
        <f>TEK.Trans.Zona1!V66</f>
        <v>1923</v>
      </c>
      <c r="E264" s="30"/>
      <c r="F264" s="37" t="s">
        <v>207</v>
      </c>
      <c r="G264" s="108"/>
    </row>
    <row r="265" spans="1:8">
      <c r="A265" s="52"/>
      <c r="B265" s="34" t="s">
        <v>206</v>
      </c>
      <c r="C265" s="35">
        <v>22</v>
      </c>
      <c r="D265" s="36">
        <f>TEK.Trans.Zona1!X66</f>
        <v>2758</v>
      </c>
      <c r="E265" s="37" t="s">
        <v>207</v>
      </c>
      <c r="F265" s="37"/>
      <c r="G265" s="31"/>
    </row>
    <row r="266" spans="1:8">
      <c r="A266" s="52"/>
      <c r="B266" s="34" t="s">
        <v>206</v>
      </c>
      <c r="C266" s="35">
        <v>24</v>
      </c>
      <c r="D266" s="36">
        <f>TEK.Trans.Zona1!Z66</f>
        <v>1218</v>
      </c>
      <c r="E266" s="30"/>
      <c r="F266" s="37" t="s">
        <v>207</v>
      </c>
      <c r="G266" s="108"/>
    </row>
    <row r="267" spans="1:8">
      <c r="A267" s="398" t="s">
        <v>221</v>
      </c>
      <c r="B267" s="399"/>
      <c r="C267" s="74"/>
      <c r="D267" s="75"/>
      <c r="E267" s="76">
        <f>SUM(D253,D254,D257:D258,D265)/A259*100</f>
        <v>36.52692749930079</v>
      </c>
      <c r="F267" s="44">
        <f>100-E267</f>
        <v>63.47307250069921</v>
      </c>
      <c r="G267" s="46">
        <f>SUM(E267:F267)</f>
        <v>100</v>
      </c>
    </row>
    <row r="268" spans="1:8">
      <c r="A268" s="379" t="s">
        <v>1</v>
      </c>
      <c r="B268" s="381" t="s">
        <v>197</v>
      </c>
      <c r="C268" s="383" t="s">
        <v>198</v>
      </c>
      <c r="D268" s="385" t="s">
        <v>199</v>
      </c>
      <c r="E268" s="376" t="s">
        <v>200</v>
      </c>
      <c r="F268" s="376"/>
      <c r="G268" s="377" t="s">
        <v>201</v>
      </c>
    </row>
    <row r="269" spans="1:8">
      <c r="A269" s="380"/>
      <c r="B269" s="382"/>
      <c r="C269" s="384"/>
      <c r="D269" s="386"/>
      <c r="E269" s="26" t="s">
        <v>203</v>
      </c>
      <c r="F269" s="26" t="s">
        <v>204</v>
      </c>
      <c r="G269" s="378"/>
    </row>
    <row r="270" spans="1:8">
      <c r="A270" s="50" t="s">
        <v>188</v>
      </c>
      <c r="B270" s="374" t="s">
        <v>218</v>
      </c>
      <c r="C270" s="375"/>
      <c r="D270" s="36"/>
      <c r="E270" s="51"/>
      <c r="F270" s="37"/>
      <c r="G270" s="31"/>
    </row>
    <row r="271" spans="1:8">
      <c r="A271" s="52"/>
      <c r="B271" s="34" t="s">
        <v>206</v>
      </c>
      <c r="C271" s="35">
        <v>1</v>
      </c>
      <c r="D271" s="36">
        <f>TEK.Trans.Zona1!$C$68</f>
        <v>1652</v>
      </c>
      <c r="E271" s="30" t="s">
        <v>207</v>
      </c>
      <c r="F271" s="37"/>
      <c r="G271" s="31"/>
    </row>
    <row r="272" spans="1:8">
      <c r="A272" s="52"/>
      <c r="B272" s="34" t="s">
        <v>206</v>
      </c>
      <c r="C272" s="35">
        <v>2</v>
      </c>
      <c r="D272" s="36">
        <f>TEK.Trans.Zona1!$D$68</f>
        <v>1649</v>
      </c>
      <c r="E272" s="30" t="s">
        <v>207</v>
      </c>
      <c r="F272" s="37"/>
      <c r="G272" s="31"/>
    </row>
    <row r="273" spans="1:7">
      <c r="A273" s="52"/>
      <c r="B273" s="34" t="s">
        <v>206</v>
      </c>
      <c r="C273" s="35">
        <v>3</v>
      </c>
      <c r="D273" s="36">
        <f>TEK.Trans.Zona1!$E$68</f>
        <v>1604</v>
      </c>
      <c r="E273" s="37" t="s">
        <v>207</v>
      </c>
      <c r="F273" s="21"/>
      <c r="G273" s="31"/>
    </row>
    <row r="274" spans="1:7">
      <c r="A274" s="52"/>
      <c r="B274" s="34" t="s">
        <v>206</v>
      </c>
      <c r="C274" s="35">
        <v>4</v>
      </c>
      <c r="D274" s="36">
        <f>TEK.Trans.Zona1!$F$68</f>
        <v>2200</v>
      </c>
      <c r="E274" s="37" t="s">
        <v>207</v>
      </c>
      <c r="F274" s="21"/>
      <c r="G274" s="31"/>
    </row>
    <row r="275" spans="1:7">
      <c r="A275" s="52"/>
      <c r="B275" s="34" t="s">
        <v>206</v>
      </c>
      <c r="C275" s="35">
        <v>5</v>
      </c>
      <c r="D275" s="36">
        <f>TEK.Trans.Zona1!$G$68</f>
        <v>2020</v>
      </c>
      <c r="E275" s="30" t="s">
        <v>207</v>
      </c>
      <c r="F275" s="37"/>
      <c r="G275" s="31"/>
    </row>
    <row r="276" spans="1:7">
      <c r="A276" s="53">
        <f>SUM(D271:D283)</f>
        <v>20392</v>
      </c>
      <c r="B276" s="34" t="s">
        <v>206</v>
      </c>
      <c r="C276" s="35">
        <v>6</v>
      </c>
      <c r="D276" s="36">
        <f>TEK.Trans.Zona1!$H$68</f>
        <v>2534</v>
      </c>
      <c r="E276" s="30" t="s">
        <v>207</v>
      </c>
      <c r="F276" s="37"/>
      <c r="G276" s="31"/>
    </row>
    <row r="277" spans="1:7">
      <c r="A277" s="52"/>
      <c r="B277" s="34" t="s">
        <v>206</v>
      </c>
      <c r="C277" s="35">
        <v>7</v>
      </c>
      <c r="D277" s="36">
        <f>TEK.Trans.Zona1!$I$68</f>
        <v>1812</v>
      </c>
      <c r="E277" s="30" t="s">
        <v>207</v>
      </c>
      <c r="F277" s="37"/>
      <c r="G277" s="31"/>
    </row>
    <row r="278" spans="1:7">
      <c r="A278" s="52"/>
      <c r="B278" s="34" t="s">
        <v>206</v>
      </c>
      <c r="C278" s="35">
        <v>8</v>
      </c>
      <c r="D278" s="36">
        <f>TEK.Trans.Zona1!$J$68</f>
        <v>960</v>
      </c>
      <c r="E278" s="37" t="s">
        <v>207</v>
      </c>
      <c r="F278" s="21"/>
      <c r="G278" s="31"/>
    </row>
    <row r="279" spans="1:7">
      <c r="A279" s="52"/>
      <c r="B279" s="34" t="s">
        <v>206</v>
      </c>
      <c r="C279" s="35">
        <v>9</v>
      </c>
      <c r="D279" s="36">
        <f>TEK.Trans.Zona1!$K$68</f>
        <v>1422</v>
      </c>
      <c r="E279" s="30" t="s">
        <v>207</v>
      </c>
      <c r="F279" s="37"/>
      <c r="G279" s="31"/>
    </row>
    <row r="280" spans="1:7">
      <c r="A280" s="52"/>
      <c r="B280" s="34" t="s">
        <v>206</v>
      </c>
      <c r="C280" s="35">
        <v>10</v>
      </c>
      <c r="D280" s="36">
        <f>TEK.Trans.Zona1!$L$68</f>
        <v>703</v>
      </c>
      <c r="E280" s="30" t="s">
        <v>207</v>
      </c>
      <c r="F280" s="37"/>
      <c r="G280" s="31"/>
    </row>
    <row r="281" spans="1:7">
      <c r="A281" s="52"/>
      <c r="B281" s="34" t="s">
        <v>206</v>
      </c>
      <c r="C281" s="35">
        <v>11</v>
      </c>
      <c r="D281" s="36">
        <f>TEK.Trans.Zona1!$M$68</f>
        <v>524</v>
      </c>
      <c r="E281" s="37" t="s">
        <v>207</v>
      </c>
      <c r="F281" s="21"/>
      <c r="G281" s="31"/>
    </row>
    <row r="282" spans="1:7">
      <c r="A282" s="52"/>
      <c r="B282" s="34" t="s">
        <v>206</v>
      </c>
      <c r="C282" s="35">
        <v>12</v>
      </c>
      <c r="D282" s="36">
        <f>TEK.Trans.Zona1!$N$68</f>
        <v>2066</v>
      </c>
      <c r="E282" s="30" t="s">
        <v>207</v>
      </c>
      <c r="F282" s="37"/>
      <c r="G282" s="31"/>
    </row>
    <row r="283" spans="1:7">
      <c r="A283" s="52"/>
      <c r="B283" s="34" t="s">
        <v>206</v>
      </c>
      <c r="C283" s="35">
        <v>13</v>
      </c>
      <c r="D283" s="36">
        <f>TEK.Trans.Zona1!O68</f>
        <v>1246</v>
      </c>
      <c r="E283" s="30" t="s">
        <v>207</v>
      </c>
      <c r="F283" s="37"/>
      <c r="G283" s="31"/>
    </row>
    <row r="284" spans="1:7">
      <c r="A284" s="398" t="s">
        <v>221</v>
      </c>
      <c r="B284" s="399"/>
      <c r="C284" s="74"/>
      <c r="D284" s="75"/>
      <c r="E284" s="45">
        <f>SUM(D271:D282)/A276*(100)</f>
        <v>93.889760690466844</v>
      </c>
      <c r="F284" s="44">
        <f>100-E284</f>
        <v>6.1102393095331564</v>
      </c>
      <c r="G284" s="46">
        <f>SUM(E284:F284)</f>
        <v>100</v>
      </c>
    </row>
    <row r="285" spans="1:7">
      <c r="A285" s="379" t="s">
        <v>1</v>
      </c>
      <c r="B285" s="381" t="s">
        <v>197</v>
      </c>
      <c r="C285" s="383" t="s">
        <v>198</v>
      </c>
      <c r="D285" s="385" t="s">
        <v>199</v>
      </c>
      <c r="E285" s="376" t="s">
        <v>200</v>
      </c>
      <c r="F285" s="376"/>
      <c r="G285" s="377" t="s">
        <v>201</v>
      </c>
    </row>
    <row r="286" spans="1:7">
      <c r="A286" s="380"/>
      <c r="B286" s="382"/>
      <c r="C286" s="384"/>
      <c r="D286" s="386"/>
      <c r="E286" s="26" t="s">
        <v>203</v>
      </c>
      <c r="F286" s="26" t="s">
        <v>204</v>
      </c>
      <c r="G286" s="378"/>
    </row>
    <row r="287" spans="1:7">
      <c r="A287" s="50" t="s">
        <v>223</v>
      </c>
      <c r="B287" s="374" t="s">
        <v>219</v>
      </c>
      <c r="C287" s="375"/>
      <c r="D287" s="36"/>
      <c r="E287" s="51"/>
      <c r="F287" s="37"/>
      <c r="G287" s="31"/>
    </row>
    <row r="288" spans="1:7">
      <c r="A288" s="52"/>
      <c r="B288" s="34" t="s">
        <v>206</v>
      </c>
      <c r="C288" s="35">
        <v>1</v>
      </c>
      <c r="D288" s="36">
        <f>TEK.Trans.Zona1!$C$70</f>
        <v>1284</v>
      </c>
      <c r="E288" s="51"/>
      <c r="F288" s="37" t="s">
        <v>207</v>
      </c>
      <c r="G288" s="31"/>
    </row>
    <row r="289" spans="1:7">
      <c r="A289" s="52"/>
      <c r="B289" s="34" t="s">
        <v>206</v>
      </c>
      <c r="C289" s="35">
        <v>2</v>
      </c>
      <c r="D289" s="36">
        <f>TEK.Trans.Zona1!$D$70</f>
        <v>2539</v>
      </c>
      <c r="E289" s="51"/>
      <c r="F289" s="37" t="s">
        <v>207</v>
      </c>
      <c r="G289" s="31"/>
    </row>
    <row r="290" spans="1:7">
      <c r="A290" s="52"/>
      <c r="B290" s="34" t="s">
        <v>206</v>
      </c>
      <c r="C290" s="35">
        <v>3</v>
      </c>
      <c r="D290" s="36">
        <f>TEK.Trans.Zona1!$E$70</f>
        <v>2158</v>
      </c>
      <c r="E290" s="51"/>
      <c r="F290" s="37" t="s">
        <v>207</v>
      </c>
      <c r="G290" s="31"/>
    </row>
    <row r="291" spans="1:7">
      <c r="A291" s="52"/>
      <c r="B291" s="34" t="s">
        <v>206</v>
      </c>
      <c r="C291" s="35">
        <v>4</v>
      </c>
      <c r="D291" s="36">
        <f>TEK.Trans.Zona1!$F$70</f>
        <v>897</v>
      </c>
      <c r="E291" s="51"/>
      <c r="F291" s="37" t="s">
        <v>207</v>
      </c>
      <c r="G291" s="31"/>
    </row>
    <row r="292" spans="1:7">
      <c r="A292" s="53">
        <f>SUM(D288:D297)</f>
        <v>15006</v>
      </c>
      <c r="B292" s="34" t="s">
        <v>206</v>
      </c>
      <c r="C292" s="35">
        <v>5</v>
      </c>
      <c r="D292" s="36">
        <f>TEK.Trans.Zona1!$G$70</f>
        <v>2753</v>
      </c>
      <c r="E292" s="51" t="s">
        <v>207</v>
      </c>
      <c r="F292" s="37"/>
      <c r="G292" s="31"/>
    </row>
    <row r="293" spans="1:7">
      <c r="A293" s="52"/>
      <c r="B293" s="34" t="s">
        <v>206</v>
      </c>
      <c r="C293" s="35">
        <v>6</v>
      </c>
      <c r="D293" s="36">
        <f>TEK.Trans.Zona1!$H$70</f>
        <v>638</v>
      </c>
      <c r="E293" s="51" t="s">
        <v>207</v>
      </c>
      <c r="F293" s="37"/>
      <c r="G293" s="31"/>
    </row>
    <row r="294" spans="1:7">
      <c r="A294" s="52"/>
      <c r="B294" s="34" t="s">
        <v>206</v>
      </c>
      <c r="C294" s="35">
        <v>7</v>
      </c>
      <c r="D294" s="36">
        <f>TEK.Trans.Zona1!$I$70</f>
        <v>367</v>
      </c>
      <c r="E294" s="51"/>
      <c r="F294" s="37" t="s">
        <v>207</v>
      </c>
      <c r="G294" s="31"/>
    </row>
    <row r="295" spans="1:7">
      <c r="A295" s="52"/>
      <c r="B295" s="34" t="s">
        <v>206</v>
      </c>
      <c r="C295" s="35">
        <v>8</v>
      </c>
      <c r="D295" s="36">
        <f>TEK.Trans.Zona1!$J$70</f>
        <v>1619</v>
      </c>
      <c r="E295" s="51" t="s">
        <v>207</v>
      </c>
      <c r="F295" s="37"/>
      <c r="G295" s="31"/>
    </row>
    <row r="296" spans="1:7">
      <c r="A296" s="52"/>
      <c r="B296" s="34" t="s">
        <v>206</v>
      </c>
      <c r="C296" s="35">
        <v>9</v>
      </c>
      <c r="D296" s="36">
        <f>TEK.Trans.Zona1!$K$70</f>
        <v>1146</v>
      </c>
      <c r="E296" s="51" t="s">
        <v>207</v>
      </c>
      <c r="F296" s="37"/>
      <c r="G296" s="31"/>
    </row>
    <row r="297" spans="1:7">
      <c r="A297" s="71"/>
      <c r="B297" s="40" t="s">
        <v>206</v>
      </c>
      <c r="C297" s="41">
        <v>11</v>
      </c>
      <c r="D297" s="36">
        <f>TEK.Trans.Zona1!$M$70</f>
        <v>1605</v>
      </c>
      <c r="E297" s="72" t="s">
        <v>207</v>
      </c>
      <c r="F297" s="73"/>
      <c r="G297" s="61"/>
    </row>
    <row r="298" spans="1:7">
      <c r="A298" s="398" t="s">
        <v>221</v>
      </c>
      <c r="B298" s="399"/>
      <c r="C298" s="74"/>
      <c r="D298" s="75"/>
      <c r="E298" s="76">
        <f>SUM(D292:D293,D295:D297)/A292*100</f>
        <v>51.719312275089969</v>
      </c>
      <c r="F298" s="44">
        <f>100-E298</f>
        <v>48.280687724910031</v>
      </c>
      <c r="G298" s="46">
        <f>SUM(E298:F298)</f>
        <v>100</v>
      </c>
    </row>
    <row r="299" spans="1:7">
      <c r="A299" s="379" t="s">
        <v>1</v>
      </c>
      <c r="B299" s="381" t="s">
        <v>197</v>
      </c>
      <c r="C299" s="383" t="s">
        <v>198</v>
      </c>
      <c r="D299" s="385" t="s">
        <v>199</v>
      </c>
      <c r="E299" s="376" t="s">
        <v>200</v>
      </c>
      <c r="F299" s="376"/>
      <c r="G299" s="377" t="s">
        <v>201</v>
      </c>
    </row>
    <row r="300" spans="1:7">
      <c r="A300" s="380"/>
      <c r="B300" s="382"/>
      <c r="C300" s="384"/>
      <c r="D300" s="386"/>
      <c r="E300" s="26" t="s">
        <v>203</v>
      </c>
      <c r="F300" s="26" t="s">
        <v>204</v>
      </c>
      <c r="G300" s="378"/>
    </row>
    <row r="301" spans="1:7">
      <c r="A301" s="50" t="s">
        <v>224</v>
      </c>
      <c r="B301" s="388" t="s">
        <v>220</v>
      </c>
      <c r="C301" s="389"/>
      <c r="D301" s="36"/>
      <c r="E301" s="51"/>
      <c r="F301" s="59"/>
      <c r="G301" s="31"/>
    </row>
    <row r="302" spans="1:7">
      <c r="A302" s="109"/>
      <c r="B302" s="34" t="s">
        <v>206</v>
      </c>
      <c r="C302" s="35">
        <v>1</v>
      </c>
      <c r="D302" s="36">
        <f>TEK.Trans.Zona1!$C$72</f>
        <v>2644</v>
      </c>
      <c r="E302" s="51" t="s">
        <v>207</v>
      </c>
      <c r="F302" s="59"/>
      <c r="G302" s="31"/>
    </row>
    <row r="303" spans="1:7">
      <c r="A303" s="109"/>
      <c r="B303" s="34" t="s">
        <v>206</v>
      </c>
      <c r="C303" s="35">
        <v>2</v>
      </c>
      <c r="D303" s="36">
        <f>TEK.Trans.Zona1!$D$72</f>
        <v>2887</v>
      </c>
      <c r="E303" s="51" t="s">
        <v>207</v>
      </c>
      <c r="F303" s="59"/>
      <c r="G303" s="31"/>
    </row>
    <row r="304" spans="1:7">
      <c r="A304" s="53">
        <f>SUM(D302:D308)</f>
        <v>17316</v>
      </c>
      <c r="B304" s="34" t="s">
        <v>206</v>
      </c>
      <c r="C304" s="35">
        <v>3</v>
      </c>
      <c r="D304" s="36">
        <f>TEK.Trans.Zona1!$E$72</f>
        <v>2895</v>
      </c>
      <c r="E304" s="51" t="s">
        <v>207</v>
      </c>
      <c r="F304" s="59"/>
      <c r="G304" s="31"/>
    </row>
    <row r="305" spans="1:7">
      <c r="A305" s="109"/>
      <c r="B305" s="34" t="s">
        <v>206</v>
      </c>
      <c r="C305" s="35">
        <v>4</v>
      </c>
      <c r="D305" s="36">
        <f>TEK.Trans.Zona1!$F$72</f>
        <v>3816</v>
      </c>
      <c r="E305" s="51" t="s">
        <v>207</v>
      </c>
      <c r="F305" s="59"/>
      <c r="G305" s="31"/>
    </row>
    <row r="306" spans="1:7">
      <c r="A306" s="109"/>
      <c r="B306" s="34" t="s">
        <v>206</v>
      </c>
      <c r="C306" s="35">
        <v>5</v>
      </c>
      <c r="D306" s="36">
        <f>TEK.Trans.Zona1!$G$72</f>
        <v>1616</v>
      </c>
      <c r="E306" s="21"/>
      <c r="F306" s="37" t="s">
        <v>207</v>
      </c>
      <c r="G306" s="31"/>
    </row>
    <row r="307" spans="1:7">
      <c r="A307" s="109"/>
      <c r="B307" s="34" t="s">
        <v>206</v>
      </c>
      <c r="C307" s="35">
        <v>6</v>
      </c>
      <c r="D307" s="36">
        <f>TEK.Trans.Zona1!$H$72</f>
        <v>2453</v>
      </c>
      <c r="E307" s="21"/>
      <c r="F307" s="37" t="s">
        <v>207</v>
      </c>
      <c r="G307" s="31"/>
    </row>
    <row r="308" spans="1:7">
      <c r="A308" s="109"/>
      <c r="B308" s="34" t="s">
        <v>206</v>
      </c>
      <c r="C308" s="35">
        <v>7</v>
      </c>
      <c r="D308" s="36">
        <f>TEK.Trans.Zona1!I72</f>
        <v>1005</v>
      </c>
      <c r="E308" s="37" t="s">
        <v>207</v>
      </c>
      <c r="F308" s="37"/>
      <c r="G308" s="31"/>
    </row>
    <row r="309" spans="1:7">
      <c r="A309" s="407" t="s">
        <v>221</v>
      </c>
      <c r="B309" s="408"/>
      <c r="C309" s="110"/>
      <c r="D309" s="111"/>
      <c r="E309" s="112">
        <f>SUM(D302:D305)/A304*100</f>
        <v>70.697620697620707</v>
      </c>
      <c r="F309" s="113">
        <f>100-E309</f>
        <v>29.302379302379293</v>
      </c>
      <c r="G309" s="46">
        <f>SUM(E309:F309)</f>
        <v>100</v>
      </c>
    </row>
    <row r="310" spans="1:7">
      <c r="A310" s="400" t="s">
        <v>225</v>
      </c>
      <c r="B310" s="404"/>
      <c r="C310" s="404"/>
      <c r="D310" s="404"/>
      <c r="E310" s="114">
        <f>(E33+E123+E243+E309+E160+E83+E226+E56+E298+E140+E193+E208+E284+E108+E267)/15</f>
        <v>69.842593744564141</v>
      </c>
      <c r="F310" s="106">
        <f>(F33+F123+F243+F309+F160+F83+F226+F56+F298+F140+F193+F208+F284+F108+F267)/15</f>
        <v>30.157406255435845</v>
      </c>
      <c r="G310" s="66">
        <f>SUM(E310:F310)</f>
        <v>99.999999999999986</v>
      </c>
    </row>
    <row r="311" spans="1:7">
      <c r="G311" s="224"/>
    </row>
    <row r="318" spans="1:7" ht="11.1" customHeight="1"/>
  </sheetData>
  <mergeCells count="133">
    <mergeCell ref="A284:B284"/>
    <mergeCell ref="A247:G247"/>
    <mergeCell ref="B211:C211"/>
    <mergeCell ref="B229:C229"/>
    <mergeCell ref="A268:A269"/>
    <mergeCell ref="B268:B269"/>
    <mergeCell ref="C268:C269"/>
    <mergeCell ref="A267:B267"/>
    <mergeCell ref="E227:F227"/>
    <mergeCell ref="A226:B226"/>
    <mergeCell ref="A310:D310"/>
    <mergeCell ref="A243:B243"/>
    <mergeCell ref="B111:C111"/>
    <mergeCell ref="A123:B123"/>
    <mergeCell ref="B301:C301"/>
    <mergeCell ref="A309:B309"/>
    <mergeCell ref="B287:C287"/>
    <mergeCell ref="A140:B140"/>
    <mergeCell ref="A298:B298"/>
    <mergeCell ref="A193:B193"/>
    <mergeCell ref="G34:G35"/>
    <mergeCell ref="D34:D35"/>
    <mergeCell ref="B34:B35"/>
    <mergeCell ref="G141:G142"/>
    <mergeCell ref="A57:A58"/>
    <mergeCell ref="A87:G87"/>
    <mergeCell ref="D57:D58"/>
    <mergeCell ref="C34:C35"/>
    <mergeCell ref="B36:C36"/>
    <mergeCell ref="A56:B56"/>
    <mergeCell ref="A33:B33"/>
    <mergeCell ref="A34:A35"/>
    <mergeCell ref="B57:B58"/>
    <mergeCell ref="C57:C58"/>
    <mergeCell ref="B6:C6"/>
    <mergeCell ref="D141:D142"/>
    <mergeCell ref="A86:G86"/>
    <mergeCell ref="B59:C59"/>
    <mergeCell ref="A83:B83"/>
    <mergeCell ref="B90:C90"/>
    <mergeCell ref="B167:C167"/>
    <mergeCell ref="D124:D125"/>
    <mergeCell ref="A85:G85"/>
    <mergeCell ref="A108:B108"/>
    <mergeCell ref="A160:B160"/>
    <mergeCell ref="E34:F34"/>
    <mergeCell ref="E124:F124"/>
    <mergeCell ref="G124:G125"/>
    <mergeCell ref="E109:F109"/>
    <mergeCell ref="B109:B110"/>
    <mergeCell ref="D165:D166"/>
    <mergeCell ref="E141:F141"/>
    <mergeCell ref="B165:B166"/>
    <mergeCell ref="E165:F165"/>
    <mergeCell ref="G165:G166"/>
    <mergeCell ref="B141:B142"/>
    <mergeCell ref="C141:C142"/>
    <mergeCell ref="A164:G164"/>
    <mergeCell ref="C109:C110"/>
    <mergeCell ref="D109:D110"/>
    <mergeCell ref="A246:G246"/>
    <mergeCell ref="B227:B228"/>
    <mergeCell ref="C227:C228"/>
    <mergeCell ref="B143:C143"/>
    <mergeCell ref="A109:A110"/>
    <mergeCell ref="A141:A142"/>
    <mergeCell ref="G109:G110"/>
    <mergeCell ref="C165:C166"/>
    <mergeCell ref="A208:B208"/>
    <mergeCell ref="B126:C126"/>
    <mergeCell ref="A124:A125"/>
    <mergeCell ref="B124:B125"/>
    <mergeCell ref="C124:C125"/>
    <mergeCell ref="A194:A195"/>
    <mergeCell ref="B194:B195"/>
    <mergeCell ref="C194:C195"/>
    <mergeCell ref="B196:C196"/>
    <mergeCell ref="A163:G163"/>
    <mergeCell ref="A1:G1"/>
    <mergeCell ref="A2:G2"/>
    <mergeCell ref="A3:G3"/>
    <mergeCell ref="A4:A5"/>
    <mergeCell ref="B4:B5"/>
    <mergeCell ref="C4:C5"/>
    <mergeCell ref="G4:G5"/>
    <mergeCell ref="D4:D5"/>
    <mergeCell ref="E4:F4"/>
    <mergeCell ref="D194:D195"/>
    <mergeCell ref="G57:G58"/>
    <mergeCell ref="A88:A89"/>
    <mergeCell ref="B88:B89"/>
    <mergeCell ref="C88:C89"/>
    <mergeCell ref="D88:D89"/>
    <mergeCell ref="E88:F88"/>
    <mergeCell ref="G88:G89"/>
    <mergeCell ref="E57:F57"/>
    <mergeCell ref="A162:G162"/>
    <mergeCell ref="A209:A210"/>
    <mergeCell ref="B209:B210"/>
    <mergeCell ref="C209:C210"/>
    <mergeCell ref="D209:D210"/>
    <mergeCell ref="E209:F209"/>
    <mergeCell ref="G209:G210"/>
    <mergeCell ref="G194:G195"/>
    <mergeCell ref="E194:F194"/>
    <mergeCell ref="A165:A166"/>
    <mergeCell ref="G227:G228"/>
    <mergeCell ref="A248:A249"/>
    <mergeCell ref="B248:B249"/>
    <mergeCell ref="C248:C249"/>
    <mergeCell ref="D248:D249"/>
    <mergeCell ref="E248:F248"/>
    <mergeCell ref="G248:G249"/>
    <mergeCell ref="D285:D286"/>
    <mergeCell ref="E285:F285"/>
    <mergeCell ref="G285:G286"/>
    <mergeCell ref="D227:D228"/>
    <mergeCell ref="A245:G245"/>
    <mergeCell ref="A227:A228"/>
    <mergeCell ref="D268:D269"/>
    <mergeCell ref="E268:F268"/>
    <mergeCell ref="G268:G269"/>
    <mergeCell ref="B250:C250"/>
    <mergeCell ref="B270:C270"/>
    <mergeCell ref="E299:F299"/>
    <mergeCell ref="G299:G300"/>
    <mergeCell ref="A299:A300"/>
    <mergeCell ref="B299:B300"/>
    <mergeCell ref="C299:C300"/>
    <mergeCell ref="D299:D300"/>
    <mergeCell ref="A285:A286"/>
    <mergeCell ref="B285:B286"/>
    <mergeCell ref="C285:C286"/>
  </mergeCells>
  <phoneticPr fontId="32" type="noConversion"/>
  <printOptions horizontalCentered="1"/>
  <pageMargins left="0.23622047244094491" right="0.23622047244094491" top="0.74803149606299213" bottom="0.74803149606299213" header="0.31496062992125984" footer="0.31496062992125984"/>
  <pageSetup paperSize="256" scale="79" firstPageNumber="4294963191" orientation="portrait" horizontalDpi="4294967293" verticalDpi="4294967293" r:id="rId1"/>
  <headerFooter alignWithMargins="0"/>
  <rowBreaks count="6" manualBreakCount="6">
    <brk id="83" max="6" man="1"/>
    <brk id="84" max="6" man="1"/>
    <brk id="160" max="6" man="1"/>
    <brk id="161" max="6" man="1"/>
    <brk id="243" max="6" man="1"/>
    <brk id="244" max="6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enableFormatConditionsCalculation="0">
    <tabColor indexed="42"/>
    <pageSetUpPr fitToPage="1"/>
  </sheetPr>
  <dimension ref="A1:BO112"/>
  <sheetViews>
    <sheetView showGridLines="0" topLeftCell="A22" zoomScale="70" zoomScaleNormal="70" zoomScaleSheetLayoutView="85" workbookViewId="0">
      <selection sqref="A1:AS82"/>
    </sheetView>
  </sheetViews>
  <sheetFormatPr defaultRowHeight="12.75"/>
  <cols>
    <col min="1" max="1" width="3.5703125" style="20" customWidth="1"/>
    <col min="2" max="2" width="22.7109375" style="20" bestFit="1" customWidth="1"/>
    <col min="3" max="6" width="6.42578125" style="20" customWidth="1"/>
    <col min="7" max="7" width="7.5703125" style="20" customWidth="1"/>
    <col min="8" max="14" width="6.42578125" style="20" customWidth="1"/>
    <col min="15" max="15" width="5.5703125" style="20" customWidth="1"/>
    <col min="16" max="16" width="6.5703125" style="20" customWidth="1"/>
    <col min="17" max="17" width="6.42578125" style="20" customWidth="1"/>
    <col min="18" max="18" width="6.7109375" style="20" customWidth="1"/>
    <col min="19" max="42" width="6.42578125" style="20" customWidth="1"/>
    <col min="43" max="45" width="7.28515625" style="20" customWidth="1"/>
    <col min="46" max="46" width="16.28515625" style="49" customWidth="1"/>
    <col min="47" max="47" width="15" style="20" customWidth="1"/>
    <col min="48" max="48" width="17.28515625" style="20" bestFit="1" customWidth="1"/>
    <col min="49" max="49" width="12.7109375" style="20" bestFit="1" customWidth="1"/>
    <col min="50" max="50" width="2.5703125" style="20" customWidth="1"/>
    <col min="51" max="51" width="13" style="20" bestFit="1" customWidth="1"/>
    <col min="52" max="52" width="3.42578125" style="20" customWidth="1"/>
    <col min="53" max="53" width="9.42578125" style="20" bestFit="1" customWidth="1"/>
    <col min="54" max="54" width="9.140625" style="20"/>
    <col min="55" max="55" width="9.42578125" style="20" bestFit="1" customWidth="1"/>
    <col min="56" max="56" width="10.85546875" style="20" bestFit="1" customWidth="1"/>
    <col min="57" max="59" width="9.140625" style="20"/>
    <col min="60" max="60" width="11.7109375" style="20" bestFit="1" customWidth="1"/>
    <col min="61" max="62" width="9.42578125" style="20" bestFit="1" customWidth="1"/>
    <col min="63" max="63" width="13" style="20" customWidth="1"/>
    <col min="64" max="64" width="10" style="20" bestFit="1" customWidth="1"/>
    <col min="65" max="16384" width="9.140625" style="20"/>
  </cols>
  <sheetData>
    <row r="1" spans="1:46" ht="18">
      <c r="A1" s="387" t="s">
        <v>226</v>
      </c>
      <c r="B1" s="387"/>
      <c r="C1" s="387"/>
      <c r="D1" s="387"/>
      <c r="E1" s="387"/>
      <c r="F1" s="387"/>
      <c r="G1" s="387"/>
      <c r="H1" s="387"/>
      <c r="I1" s="387"/>
      <c r="J1" s="387"/>
      <c r="K1" s="387"/>
      <c r="L1" s="387"/>
      <c r="M1" s="387"/>
      <c r="N1" s="387"/>
      <c r="O1" s="387"/>
      <c r="P1" s="387"/>
      <c r="Q1" s="387"/>
      <c r="R1" s="387"/>
      <c r="S1" s="387"/>
      <c r="T1" s="387"/>
      <c r="U1" s="387"/>
      <c r="V1" s="387"/>
      <c r="W1" s="387"/>
      <c r="X1" s="387"/>
      <c r="Y1" s="387"/>
      <c r="Z1" s="387"/>
      <c r="AA1" s="387"/>
      <c r="AB1" s="387"/>
      <c r="AC1" s="387"/>
      <c r="AD1" s="387"/>
      <c r="AE1" s="387"/>
      <c r="AF1" s="387"/>
      <c r="AG1" s="387"/>
      <c r="AH1" s="387"/>
      <c r="AI1" s="387"/>
      <c r="AJ1" s="387"/>
      <c r="AK1" s="387"/>
      <c r="AL1" s="387"/>
      <c r="AM1" s="387"/>
      <c r="AN1" s="387"/>
      <c r="AO1" s="387"/>
      <c r="AP1" s="387"/>
      <c r="AQ1" s="387"/>
      <c r="AR1" s="312"/>
      <c r="AS1" s="312"/>
    </row>
    <row r="2" spans="1:46" ht="18">
      <c r="A2" s="387" t="s">
        <v>406</v>
      </c>
      <c r="B2" s="387"/>
      <c r="C2" s="387"/>
      <c r="D2" s="387"/>
      <c r="E2" s="387"/>
      <c r="F2" s="387"/>
      <c r="G2" s="387"/>
      <c r="H2" s="387"/>
      <c r="I2" s="387"/>
      <c r="J2" s="387"/>
      <c r="K2" s="387"/>
      <c r="L2" s="387"/>
      <c r="M2" s="387"/>
      <c r="N2" s="387"/>
      <c r="O2" s="387"/>
      <c r="P2" s="387"/>
      <c r="Q2" s="387"/>
      <c r="R2" s="387"/>
      <c r="S2" s="387"/>
      <c r="T2" s="387"/>
      <c r="U2" s="387"/>
      <c r="V2" s="387"/>
      <c r="W2" s="387"/>
      <c r="X2" s="387"/>
      <c r="Y2" s="387"/>
      <c r="Z2" s="387"/>
      <c r="AA2" s="387"/>
      <c r="AB2" s="387"/>
      <c r="AC2" s="387"/>
      <c r="AD2" s="387"/>
      <c r="AE2" s="387"/>
      <c r="AF2" s="387"/>
      <c r="AG2" s="387"/>
      <c r="AH2" s="387"/>
      <c r="AI2" s="387"/>
      <c r="AJ2" s="387"/>
      <c r="AK2" s="387"/>
      <c r="AL2" s="387"/>
      <c r="AM2" s="387"/>
      <c r="AN2" s="387"/>
      <c r="AO2" s="387"/>
      <c r="AP2" s="387"/>
      <c r="AQ2" s="387"/>
      <c r="AR2" s="312"/>
      <c r="AS2" s="312"/>
    </row>
    <row r="3" spans="1:46" ht="13.5" thickBot="1">
      <c r="A3" t="s">
        <v>195</v>
      </c>
      <c r="AR3" s="313"/>
      <c r="AS3" s="313"/>
    </row>
    <row r="4" spans="1:46">
      <c r="A4" s="421" t="s">
        <v>1</v>
      </c>
      <c r="B4" s="115" t="s">
        <v>227</v>
      </c>
      <c r="C4" s="417">
        <v>1</v>
      </c>
      <c r="D4" s="417">
        <v>2</v>
      </c>
      <c r="E4" s="417">
        <v>3</v>
      </c>
      <c r="F4" s="417">
        <v>4</v>
      </c>
      <c r="G4" s="417">
        <v>5</v>
      </c>
      <c r="H4" s="417">
        <v>6</v>
      </c>
      <c r="I4" s="417">
        <v>7</v>
      </c>
      <c r="J4" s="417">
        <v>8</v>
      </c>
      <c r="K4" s="417">
        <v>9</v>
      </c>
      <c r="L4" s="417">
        <v>10</v>
      </c>
      <c r="M4" s="417">
        <v>11</v>
      </c>
      <c r="N4" s="417">
        <v>12</v>
      </c>
      <c r="O4" s="417">
        <v>13</v>
      </c>
      <c r="P4" s="417">
        <v>14</v>
      </c>
      <c r="Q4" s="417">
        <v>15</v>
      </c>
      <c r="R4" s="417">
        <v>16</v>
      </c>
      <c r="S4" s="417">
        <v>17</v>
      </c>
      <c r="T4" s="417">
        <v>18</v>
      </c>
      <c r="U4" s="417">
        <v>19</v>
      </c>
      <c r="V4" s="417">
        <v>20</v>
      </c>
      <c r="W4" s="417">
        <v>21</v>
      </c>
      <c r="X4" s="417">
        <v>22</v>
      </c>
      <c r="Y4" s="417">
        <v>23</v>
      </c>
      <c r="Z4" s="417">
        <v>24</v>
      </c>
      <c r="AA4" s="417">
        <v>25</v>
      </c>
      <c r="AB4" s="417">
        <v>26</v>
      </c>
      <c r="AC4" s="417">
        <v>27</v>
      </c>
      <c r="AD4" s="417">
        <v>28</v>
      </c>
      <c r="AE4" s="417">
        <v>29</v>
      </c>
      <c r="AF4" s="417">
        <v>32</v>
      </c>
      <c r="AG4" s="417">
        <v>33</v>
      </c>
      <c r="AH4" s="417">
        <v>43</v>
      </c>
      <c r="AI4" s="417">
        <v>44</v>
      </c>
      <c r="AJ4" s="417">
        <v>45</v>
      </c>
      <c r="AK4" s="417">
        <v>47</v>
      </c>
      <c r="AL4" s="417">
        <v>48</v>
      </c>
      <c r="AM4" s="425">
        <v>49</v>
      </c>
      <c r="AN4" s="417">
        <v>59</v>
      </c>
      <c r="AO4" s="417">
        <v>60</v>
      </c>
      <c r="AP4" s="417">
        <v>70</v>
      </c>
      <c r="AQ4" s="417">
        <v>71</v>
      </c>
      <c r="AR4" s="286"/>
      <c r="AS4" s="323"/>
    </row>
    <row r="5" spans="1:46">
      <c r="A5" s="422"/>
      <c r="B5" s="116" t="s">
        <v>197</v>
      </c>
      <c r="C5" s="418"/>
      <c r="D5" s="418"/>
      <c r="E5" s="418"/>
      <c r="F5" s="418"/>
      <c r="G5" s="418"/>
      <c r="H5" s="418"/>
      <c r="I5" s="418"/>
      <c r="J5" s="418"/>
      <c r="K5" s="418"/>
      <c r="L5" s="418"/>
      <c r="M5" s="418"/>
      <c r="N5" s="418"/>
      <c r="O5" s="418"/>
      <c r="P5" s="418"/>
      <c r="Q5" s="418"/>
      <c r="R5" s="418"/>
      <c r="S5" s="418"/>
      <c r="T5" s="418"/>
      <c r="U5" s="418"/>
      <c r="V5" s="418"/>
      <c r="W5" s="418"/>
      <c r="X5" s="418"/>
      <c r="Y5" s="418"/>
      <c r="Z5" s="418"/>
      <c r="AA5" s="418"/>
      <c r="AB5" s="418"/>
      <c r="AC5" s="418"/>
      <c r="AD5" s="418"/>
      <c r="AE5" s="418"/>
      <c r="AF5" s="418"/>
      <c r="AG5" s="418"/>
      <c r="AH5" s="418"/>
      <c r="AI5" s="418"/>
      <c r="AJ5" s="418"/>
      <c r="AK5" s="418"/>
      <c r="AL5" s="418"/>
      <c r="AM5" s="426"/>
      <c r="AN5" s="419"/>
      <c r="AO5" s="419"/>
      <c r="AP5" s="419"/>
      <c r="AQ5" s="419"/>
      <c r="AR5" s="287"/>
      <c r="AS5" s="323"/>
    </row>
    <row r="6" spans="1:46" ht="3.75" customHeight="1">
      <c r="A6" s="117"/>
      <c r="B6" s="118"/>
      <c r="C6" s="119"/>
      <c r="D6" s="119"/>
      <c r="E6" s="119"/>
      <c r="F6" s="119"/>
      <c r="G6" s="119"/>
      <c r="H6" s="119"/>
      <c r="I6" s="119"/>
      <c r="J6" s="119"/>
      <c r="K6" s="119"/>
      <c r="L6" s="119"/>
      <c r="M6" s="119"/>
      <c r="N6" s="119"/>
      <c r="O6" s="119"/>
      <c r="P6" s="119"/>
      <c r="Q6" s="119"/>
      <c r="R6" s="119"/>
      <c r="S6" s="119"/>
      <c r="T6" s="119"/>
      <c r="U6" s="119"/>
      <c r="V6" s="119"/>
      <c r="W6" s="119"/>
      <c r="X6" s="119"/>
      <c r="Y6" s="119"/>
      <c r="Z6" s="119"/>
      <c r="AA6" s="119"/>
      <c r="AB6" s="119"/>
      <c r="AC6" s="119"/>
      <c r="AD6" s="119"/>
      <c r="AE6" s="119"/>
      <c r="AF6" s="119"/>
      <c r="AG6" s="119"/>
      <c r="AH6" s="119"/>
      <c r="AI6" s="119"/>
      <c r="AJ6" s="119"/>
      <c r="AK6" s="119"/>
      <c r="AL6" s="119"/>
      <c r="AM6" s="119"/>
      <c r="AN6" s="119"/>
      <c r="AO6" s="119"/>
      <c r="AP6" s="120"/>
      <c r="AQ6" s="331"/>
      <c r="AR6" s="332"/>
      <c r="AS6" s="314"/>
    </row>
    <row r="7" spans="1:46">
      <c r="A7" s="121">
        <v>1</v>
      </c>
      <c r="B7" s="122" t="s">
        <v>202</v>
      </c>
      <c r="C7" s="266">
        <v>0.31</v>
      </c>
      <c r="D7" s="216">
        <v>0.35</v>
      </c>
      <c r="E7" s="123">
        <v>0.28000000000000003</v>
      </c>
      <c r="F7" s="123">
        <v>0.23</v>
      </c>
      <c r="G7" s="209">
        <v>0.21</v>
      </c>
      <c r="H7" s="123">
        <v>0.18</v>
      </c>
      <c r="I7" s="123">
        <v>0.27</v>
      </c>
      <c r="J7" s="125"/>
      <c r="K7" s="125"/>
      <c r="L7" s="125"/>
      <c r="M7" s="123">
        <v>0.21</v>
      </c>
      <c r="N7" s="123">
        <v>0.25</v>
      </c>
      <c r="O7" s="124">
        <v>0.38</v>
      </c>
      <c r="P7" s="124">
        <v>0.31</v>
      </c>
      <c r="Q7" s="125"/>
      <c r="R7" s="132">
        <v>0.5</v>
      </c>
      <c r="S7" s="123">
        <v>0.27</v>
      </c>
      <c r="T7" s="266">
        <v>0.32</v>
      </c>
      <c r="U7" s="123">
        <v>0.24</v>
      </c>
      <c r="V7" s="265">
        <v>0.43</v>
      </c>
      <c r="W7" s="266">
        <v>0.32</v>
      </c>
      <c r="X7" s="125"/>
      <c r="Y7" s="124">
        <v>0.36</v>
      </c>
      <c r="Z7" s="124">
        <v>0.34</v>
      </c>
      <c r="AA7" s="125"/>
      <c r="AB7" s="125"/>
      <c r="AC7" s="125"/>
      <c r="AD7" s="125"/>
      <c r="AE7" s="125"/>
      <c r="AF7" s="123">
        <v>0.25</v>
      </c>
      <c r="AG7" s="124">
        <v>0.32</v>
      </c>
      <c r="AH7" s="123">
        <v>0.23</v>
      </c>
      <c r="AI7" s="124">
        <v>0.3</v>
      </c>
      <c r="AJ7" s="123">
        <v>0.28999999999999998</v>
      </c>
      <c r="AK7" s="123"/>
      <c r="AL7" s="124">
        <v>0.31</v>
      </c>
      <c r="AM7" s="123">
        <v>0.26</v>
      </c>
      <c r="AN7" s="123"/>
      <c r="AO7" s="123"/>
      <c r="AP7" s="123"/>
      <c r="AQ7" s="123"/>
      <c r="AR7" s="333"/>
      <c r="AS7" s="324"/>
      <c r="AT7" s="22"/>
    </row>
    <row r="8" spans="1:46" ht="3.95" customHeight="1">
      <c r="A8" s="126"/>
      <c r="B8" s="127"/>
      <c r="C8" s="128"/>
      <c r="D8" s="208"/>
      <c r="E8" s="128"/>
      <c r="F8" s="128"/>
      <c r="G8" s="128"/>
      <c r="H8" s="128"/>
      <c r="I8" s="128"/>
      <c r="J8" s="128"/>
      <c r="K8" s="128"/>
      <c r="L8" s="128"/>
      <c r="M8" s="128"/>
      <c r="N8" s="128"/>
      <c r="O8" s="128"/>
      <c r="P8" s="128"/>
      <c r="Q8" s="128"/>
      <c r="R8" s="128"/>
      <c r="S8" s="128"/>
      <c r="T8" s="128"/>
      <c r="U8" s="128"/>
      <c r="V8" s="128"/>
      <c r="W8" s="128"/>
      <c r="X8" s="128"/>
      <c r="Y8" s="128"/>
      <c r="Z8" s="128"/>
      <c r="AA8" s="128"/>
      <c r="AB8" s="128"/>
      <c r="AC8" s="128"/>
      <c r="AD8" s="128"/>
      <c r="AE8" s="128"/>
      <c r="AF8" s="128"/>
      <c r="AG8" s="128"/>
      <c r="AH8" s="128"/>
      <c r="AI8" s="128"/>
      <c r="AJ8" s="128"/>
      <c r="AK8" s="128"/>
      <c r="AL8" s="128"/>
      <c r="AM8" s="129"/>
      <c r="AN8" s="129"/>
      <c r="AO8" s="129"/>
      <c r="AP8" s="130"/>
      <c r="AQ8" s="130"/>
      <c r="AR8" s="128"/>
      <c r="AS8" s="325"/>
      <c r="AT8" s="178"/>
    </row>
    <row r="9" spans="1:46">
      <c r="A9" s="121">
        <v>2</v>
      </c>
      <c r="B9" s="122" t="s">
        <v>205</v>
      </c>
      <c r="C9" s="123">
        <v>0.23</v>
      </c>
      <c r="D9" s="211">
        <v>0.26</v>
      </c>
      <c r="E9" s="125"/>
      <c r="F9" s="125"/>
      <c r="G9" s="123">
        <v>0.2</v>
      </c>
      <c r="H9" s="123">
        <v>0.08</v>
      </c>
      <c r="I9" s="123">
        <v>0.28000000000000003</v>
      </c>
      <c r="J9" s="123">
        <v>0.26</v>
      </c>
      <c r="K9" s="123">
        <v>0.31</v>
      </c>
      <c r="L9" s="123">
        <v>0.25</v>
      </c>
      <c r="M9" s="125"/>
      <c r="N9" s="123">
        <v>0.25</v>
      </c>
      <c r="O9" s="123">
        <v>0.06</v>
      </c>
      <c r="P9" s="123">
        <v>0.24</v>
      </c>
      <c r="Q9" s="123">
        <v>0.25</v>
      </c>
      <c r="R9" s="123">
        <v>0.2</v>
      </c>
      <c r="S9" s="123">
        <v>0.19</v>
      </c>
      <c r="T9" s="125"/>
      <c r="U9" s="123">
        <v>0.27</v>
      </c>
      <c r="V9" s="123">
        <v>0.03</v>
      </c>
      <c r="W9" s="123">
        <v>0.24</v>
      </c>
      <c r="X9" s="125"/>
      <c r="Y9" s="123">
        <v>0.15</v>
      </c>
      <c r="Z9" s="125"/>
      <c r="AA9" s="125"/>
      <c r="AB9" s="123">
        <v>0.23</v>
      </c>
      <c r="AC9" s="125"/>
      <c r="AD9" s="125"/>
      <c r="AE9" s="125"/>
      <c r="AF9" s="125"/>
      <c r="AG9" s="125"/>
      <c r="AH9" s="125"/>
      <c r="AI9" s="125"/>
      <c r="AJ9" s="125"/>
      <c r="AK9" s="125"/>
      <c r="AL9" s="125"/>
      <c r="AM9" s="131"/>
      <c r="AN9" s="131"/>
      <c r="AO9" s="131"/>
      <c r="AP9" s="131"/>
      <c r="AQ9" s="133"/>
      <c r="AR9" s="125"/>
      <c r="AS9" s="326"/>
      <c r="AT9" s="22"/>
    </row>
    <row r="10" spans="1:46" ht="3.95" customHeight="1">
      <c r="A10" s="126"/>
      <c r="B10" s="127"/>
      <c r="C10" s="128"/>
      <c r="D10" s="128"/>
      <c r="E10" s="128"/>
      <c r="F10" s="128"/>
      <c r="G10" s="128"/>
      <c r="H10" s="128"/>
      <c r="I10" s="128"/>
      <c r="J10" s="128"/>
      <c r="K10" s="128"/>
      <c r="L10" s="128"/>
      <c r="M10" s="128"/>
      <c r="N10" s="128"/>
      <c r="O10" s="128"/>
      <c r="P10" s="128"/>
      <c r="Q10" s="128"/>
      <c r="R10" s="128"/>
      <c r="S10" s="128"/>
      <c r="T10" s="128"/>
      <c r="U10" s="128"/>
      <c r="V10" s="128"/>
      <c r="W10" s="128"/>
      <c r="X10" s="128"/>
      <c r="Y10" s="128"/>
      <c r="Z10" s="128"/>
      <c r="AA10" s="128"/>
      <c r="AB10" s="128"/>
      <c r="AC10" s="128"/>
      <c r="AD10" s="128"/>
      <c r="AE10" s="128"/>
      <c r="AF10" s="128"/>
      <c r="AG10" s="128"/>
      <c r="AH10" s="128"/>
      <c r="AI10" s="128"/>
      <c r="AJ10" s="128"/>
      <c r="AK10" s="128"/>
      <c r="AL10" s="128"/>
      <c r="AM10" s="129"/>
      <c r="AN10" s="129"/>
      <c r="AO10" s="129"/>
      <c r="AP10" s="130"/>
      <c r="AQ10" s="130"/>
      <c r="AR10" s="128"/>
      <c r="AS10" s="325"/>
    </row>
    <row r="11" spans="1:46">
      <c r="A11" s="121">
        <v>3</v>
      </c>
      <c r="B11" s="122" t="s">
        <v>208</v>
      </c>
      <c r="C11" s="123">
        <f>(0.14+0.14+0.14+0.14)/4</f>
        <v>0.14000000000000001</v>
      </c>
      <c r="D11" s="125"/>
      <c r="E11" s="125"/>
      <c r="F11" s="123">
        <f>(0.17+0.17+0.17)/3</f>
        <v>0.17</v>
      </c>
      <c r="G11" s="123">
        <f>(0.19+0.19+0.19+0.23+0.27)/5</f>
        <v>0.21400000000000002</v>
      </c>
      <c r="H11" s="123">
        <f>(0.23+0.2)/2</f>
        <v>0.21500000000000002</v>
      </c>
      <c r="I11" s="123">
        <v>0.23</v>
      </c>
      <c r="J11" s="123">
        <f>(0.21+0.21+0.28+0.21+0.21)/5</f>
        <v>0.22399999999999998</v>
      </c>
      <c r="K11" s="123">
        <f>(0.21+0.23+0.21+0.23)/4</f>
        <v>0.22</v>
      </c>
      <c r="L11" s="123">
        <f>(0.17+0.17+0.18)/3</f>
        <v>0.17333333333333334</v>
      </c>
      <c r="M11" s="132">
        <v>0.71</v>
      </c>
      <c r="N11" s="125"/>
      <c r="O11" s="123">
        <v>0.19</v>
      </c>
      <c r="P11" s="124">
        <v>0.32</v>
      </c>
      <c r="Q11" s="132">
        <v>0.63</v>
      </c>
      <c r="R11" s="124">
        <v>0.31</v>
      </c>
      <c r="S11" s="123">
        <f>(0.18+0.27+0.23+0.21+0.23)/5</f>
        <v>0.22400000000000003</v>
      </c>
      <c r="T11" s="125"/>
      <c r="U11" s="125"/>
      <c r="V11" s="132">
        <f>(0.43+0.43+0.38+0.82)/4</f>
        <v>0.51500000000000001</v>
      </c>
      <c r="W11" s="266">
        <v>0.41</v>
      </c>
      <c r="X11" s="125"/>
      <c r="Y11" s="266">
        <v>0.37</v>
      </c>
      <c r="Z11" s="123">
        <f>(0.18+0.18)/2</f>
        <v>0.18</v>
      </c>
      <c r="AA11" s="123">
        <v>0.2</v>
      </c>
      <c r="AB11" s="212">
        <v>0.28000000000000003</v>
      </c>
      <c r="AC11" s="212">
        <v>0.23</v>
      </c>
      <c r="AD11" s="132">
        <v>0.56999999999999995</v>
      </c>
      <c r="AE11" s="124">
        <v>0.47</v>
      </c>
      <c r="AF11" s="125"/>
      <c r="AG11" s="125"/>
      <c r="AH11" s="125"/>
      <c r="AI11" s="125"/>
      <c r="AJ11" s="125"/>
      <c r="AK11" s="125"/>
      <c r="AL11" s="125"/>
      <c r="AM11" s="131"/>
      <c r="AN11" s="131"/>
      <c r="AO11" s="131"/>
      <c r="AP11" s="133"/>
      <c r="AQ11" s="133"/>
      <c r="AR11" s="125"/>
      <c r="AS11" s="326"/>
      <c r="AT11" s="219"/>
    </row>
    <row r="12" spans="1:46" ht="3.95" customHeight="1">
      <c r="A12" s="134"/>
      <c r="B12" s="127"/>
      <c r="C12" s="128"/>
      <c r="D12" s="128"/>
      <c r="E12" s="128"/>
      <c r="F12" s="128"/>
      <c r="G12" s="208"/>
      <c r="H12" s="128"/>
      <c r="I12" s="128"/>
      <c r="J12" s="128"/>
      <c r="K12" s="128"/>
      <c r="L12" s="128"/>
      <c r="M12" s="128"/>
      <c r="N12" s="128"/>
      <c r="O12" s="128"/>
      <c r="P12" s="128"/>
      <c r="Q12" s="128"/>
      <c r="R12" s="128"/>
      <c r="S12" s="128"/>
      <c r="T12" s="128"/>
      <c r="U12" s="128"/>
      <c r="V12" s="128"/>
      <c r="W12" s="128"/>
      <c r="X12" s="128"/>
      <c r="Y12" s="128"/>
      <c r="Z12" s="128"/>
      <c r="AA12" s="128"/>
      <c r="AB12" s="128"/>
      <c r="AC12" s="128"/>
      <c r="AD12" s="128"/>
      <c r="AE12" s="128"/>
      <c r="AF12" s="128"/>
      <c r="AG12" s="128"/>
      <c r="AH12" s="128"/>
      <c r="AI12" s="128"/>
      <c r="AJ12" s="128"/>
      <c r="AK12" s="128"/>
      <c r="AL12" s="128"/>
      <c r="AM12" s="129"/>
      <c r="AN12" s="129"/>
      <c r="AO12" s="129"/>
      <c r="AP12" s="130"/>
      <c r="AQ12" s="130"/>
      <c r="AR12" s="128"/>
      <c r="AS12" s="325"/>
    </row>
    <row r="13" spans="1:46" ht="13.5" thickBot="1">
      <c r="A13" s="121">
        <v>4</v>
      </c>
      <c r="B13" s="122" t="s">
        <v>209</v>
      </c>
      <c r="C13" s="125"/>
      <c r="D13" s="125"/>
      <c r="E13" s="125"/>
      <c r="F13" s="125"/>
      <c r="G13" s="125"/>
      <c r="H13" s="132">
        <v>0.5</v>
      </c>
      <c r="I13" s="124">
        <v>0.3</v>
      </c>
      <c r="J13" s="132">
        <v>0.53</v>
      </c>
      <c r="K13" s="132">
        <v>0.7</v>
      </c>
      <c r="L13" s="123">
        <f>(0.1+0.1+0.2+0.13+0.1+0.1+0.13+0.1+0.17+0.1+0.1)/11</f>
        <v>0.12090909090909091</v>
      </c>
      <c r="M13" s="123">
        <v>0.13</v>
      </c>
      <c r="N13" s="123">
        <v>0.02</v>
      </c>
      <c r="O13" s="123">
        <v>0.02</v>
      </c>
      <c r="P13" s="123">
        <v>0.15</v>
      </c>
      <c r="Q13" s="132">
        <v>0.7</v>
      </c>
      <c r="R13" s="124">
        <v>0.35</v>
      </c>
      <c r="S13" s="132">
        <f>(0.5+0.6+0.6)/3</f>
        <v>0.56666666666666676</v>
      </c>
      <c r="T13" s="125"/>
      <c r="U13" s="125"/>
      <c r="V13" s="210" t="s">
        <v>404</v>
      </c>
      <c r="W13" s="132">
        <v>0.65</v>
      </c>
      <c r="X13" s="132">
        <v>0.5</v>
      </c>
      <c r="Y13" s="139">
        <f>(0.32+0.23+0.23+0.23)/4</f>
        <v>0.2525</v>
      </c>
      <c r="Z13" s="132">
        <v>0.8</v>
      </c>
      <c r="AA13" s="132">
        <v>0.63</v>
      </c>
      <c r="AB13" s="125"/>
      <c r="AC13" s="125"/>
      <c r="AD13" s="125"/>
      <c r="AE13" s="125"/>
      <c r="AF13" s="125"/>
      <c r="AG13" s="125"/>
      <c r="AH13" s="125"/>
      <c r="AI13" s="125"/>
      <c r="AJ13" s="125"/>
      <c r="AK13" s="125"/>
      <c r="AL13" s="125"/>
      <c r="AM13" s="131"/>
      <c r="AN13" s="131"/>
      <c r="AO13" s="131"/>
      <c r="AP13" s="133"/>
      <c r="AQ13" s="125"/>
      <c r="AR13" s="125"/>
      <c r="AS13" s="326"/>
      <c r="AT13" s="22"/>
    </row>
    <row r="14" spans="1:46" ht="3.95" customHeight="1">
      <c r="A14" s="134"/>
      <c r="B14" s="127"/>
      <c r="C14" s="128"/>
      <c r="D14" s="128"/>
      <c r="E14" s="128"/>
      <c r="F14" s="128"/>
      <c r="G14" s="128"/>
      <c r="H14" s="128"/>
      <c r="I14" s="128"/>
      <c r="J14" s="128"/>
      <c r="K14" s="128"/>
      <c r="L14" s="128"/>
      <c r="M14" s="128"/>
      <c r="N14" s="128"/>
      <c r="O14" s="128"/>
      <c r="P14" s="128"/>
      <c r="Q14" s="128"/>
      <c r="R14" s="128"/>
      <c r="S14" s="128"/>
      <c r="T14" s="128"/>
      <c r="U14" s="128"/>
      <c r="V14" s="128"/>
      <c r="W14" s="128"/>
      <c r="X14" s="128"/>
      <c r="Y14" s="128"/>
      <c r="Z14" s="128"/>
      <c r="AA14" s="128"/>
      <c r="AB14" s="128"/>
      <c r="AC14" s="128"/>
      <c r="AD14" s="128"/>
      <c r="AE14" s="128"/>
      <c r="AF14" s="128"/>
      <c r="AG14" s="128"/>
      <c r="AH14" s="128"/>
      <c r="AI14" s="128"/>
      <c r="AJ14" s="128"/>
      <c r="AK14" s="128"/>
      <c r="AL14" s="128"/>
      <c r="AM14" s="129"/>
      <c r="AN14" s="129"/>
      <c r="AO14" s="129"/>
      <c r="AP14" s="130"/>
      <c r="AQ14" s="130"/>
      <c r="AR14" s="128"/>
      <c r="AS14" s="325"/>
    </row>
    <row r="15" spans="1:46">
      <c r="A15" s="121">
        <v>5</v>
      </c>
      <c r="B15" s="122" t="s">
        <v>210</v>
      </c>
      <c r="C15" s="135">
        <v>1.17</v>
      </c>
      <c r="D15" s="132"/>
      <c r="E15" s="132"/>
      <c r="F15" s="132"/>
      <c r="G15" s="132"/>
      <c r="H15" s="132"/>
      <c r="I15" s="124"/>
      <c r="J15" s="124"/>
      <c r="K15" s="132"/>
      <c r="L15" s="125"/>
      <c r="M15" s="125"/>
      <c r="N15" s="125"/>
      <c r="O15" s="125"/>
      <c r="P15" s="125"/>
      <c r="Q15" s="125"/>
      <c r="R15" s="125"/>
      <c r="S15" s="125"/>
      <c r="T15" s="125"/>
      <c r="U15" s="125"/>
      <c r="V15" s="125"/>
      <c r="W15" s="125"/>
      <c r="X15" s="125"/>
      <c r="Y15" s="125"/>
      <c r="Z15" s="125"/>
      <c r="AA15" s="125"/>
      <c r="AB15" s="125"/>
      <c r="AC15" s="125"/>
      <c r="AD15" s="125"/>
      <c r="AE15" s="125"/>
      <c r="AF15" s="125"/>
      <c r="AG15" s="125"/>
      <c r="AH15" s="125"/>
      <c r="AI15" s="125"/>
      <c r="AJ15" s="125"/>
      <c r="AK15" s="125"/>
      <c r="AL15" s="125"/>
      <c r="AM15" s="131"/>
      <c r="AN15" s="131"/>
      <c r="AO15" s="131"/>
      <c r="AP15" s="133"/>
      <c r="AQ15" s="133"/>
      <c r="AR15" s="125"/>
      <c r="AS15" s="326"/>
      <c r="AT15" s="22"/>
    </row>
    <row r="16" spans="1:46" ht="3.95" customHeight="1">
      <c r="A16" s="136"/>
      <c r="B16" s="127"/>
      <c r="C16" s="128"/>
      <c r="D16" s="128"/>
      <c r="E16" s="128"/>
      <c r="F16" s="128"/>
      <c r="G16" s="128"/>
      <c r="H16" s="128"/>
      <c r="I16" s="128"/>
      <c r="J16" s="128"/>
      <c r="K16" s="128"/>
      <c r="L16" s="128"/>
      <c r="M16" s="128"/>
      <c r="N16" s="128"/>
      <c r="O16" s="128"/>
      <c r="P16" s="128"/>
      <c r="Q16" s="128"/>
      <c r="R16" s="128"/>
      <c r="S16" s="128"/>
      <c r="T16" s="128"/>
      <c r="U16" s="128"/>
      <c r="V16" s="128"/>
      <c r="W16" s="128"/>
      <c r="X16" s="128"/>
      <c r="Y16" s="128"/>
      <c r="Z16" s="128"/>
      <c r="AA16" s="128"/>
      <c r="AB16" s="128"/>
      <c r="AC16" s="128"/>
      <c r="AD16" s="128"/>
      <c r="AE16" s="128"/>
      <c r="AF16" s="128"/>
      <c r="AG16" s="128"/>
      <c r="AH16" s="128"/>
      <c r="AI16" s="128"/>
      <c r="AJ16" s="128"/>
      <c r="AK16" s="128"/>
      <c r="AL16" s="128"/>
      <c r="AM16" s="129"/>
      <c r="AN16" s="129"/>
      <c r="AO16" s="129"/>
      <c r="AP16" s="130"/>
      <c r="AQ16" s="130"/>
      <c r="AR16" s="128"/>
      <c r="AS16" s="325"/>
    </row>
    <row r="17" spans="1:46">
      <c r="A17" s="121">
        <v>6</v>
      </c>
      <c r="B17" s="122" t="s">
        <v>211</v>
      </c>
      <c r="C17" s="123">
        <f>(0.2+0.13+0.13+0.1+0.13+0.13+0.13+0.1+0.17)/9</f>
        <v>0.13555555555555554</v>
      </c>
      <c r="D17" s="123">
        <f>(0.13+0.13+0.17+0.13+0.13+0.13)/6</f>
        <v>0.13666666666666669</v>
      </c>
      <c r="E17" s="123">
        <f>(0.17+0.13+0.13+0.23+0.27+0.13+0.17+0.2+0.17+0.13+0.13)/11</f>
        <v>0.16909090909090907</v>
      </c>
      <c r="F17" s="123">
        <f>(0.17+0.23+0.2+0.13+0.13+0.13+0.13+0.13+0.23)/9</f>
        <v>0.16444444444444445</v>
      </c>
      <c r="G17" s="123">
        <f>(0.27+0.23+0.23+0.17+0.23+0.23+0.23+0.23+0.2+0.23)/10</f>
        <v>0.22500000000000001</v>
      </c>
      <c r="H17" s="123">
        <f>(0.23+0.13+0.2+0.27+0.23+0.23+0.2+0.23+0.23+0.23+0.27+0.17)/12</f>
        <v>0.21833333333333335</v>
      </c>
      <c r="I17" s="123">
        <f>(0.27+0.1+0.13+0.13+0.2+0.2+0.17+0.3+0.3+0.3+0.23)/11</f>
        <v>0.21181818181818182</v>
      </c>
      <c r="J17" s="123">
        <f>(0.23+0.23+0.2+0.2+0.17+0.2+0.23+0.2+0.2+0.2+0.2+0.17)/12</f>
        <v>0.20250000000000001</v>
      </c>
      <c r="K17" s="209">
        <f>(0.1+0.27+0.03+0.27+0.1+0.1+0.17+0.27+0.1+0.1)/10</f>
        <v>0.15100000000000002</v>
      </c>
      <c r="L17" s="123">
        <f>(0.1+0.1+0.2+0.13+0.1+0.1+0.13+0.1+0.17+0.1+0.1)/11</f>
        <v>0.12090909090909091</v>
      </c>
      <c r="M17" s="123">
        <f>(0.23+0.23+0.2+0.2+0.23+0.23+0.2+0.2+0.2+0.2+0.2)/11</f>
        <v>0.21090909090909093</v>
      </c>
      <c r="N17" s="123">
        <v>0.24</v>
      </c>
      <c r="O17" s="123">
        <f>(0.23+0.13+0.17+0.17+0.23+0.23+0.03)/7</f>
        <v>0.17</v>
      </c>
      <c r="P17" s="125"/>
      <c r="Q17" s="125"/>
      <c r="R17" s="125"/>
      <c r="S17" s="125"/>
      <c r="T17" s="125"/>
      <c r="U17" s="125"/>
      <c r="V17" s="125"/>
      <c r="W17" s="125"/>
      <c r="X17" s="125"/>
      <c r="Y17" s="125"/>
      <c r="Z17" s="125"/>
      <c r="AA17" s="125"/>
      <c r="AB17" s="125"/>
      <c r="AC17" s="125"/>
      <c r="AD17" s="125"/>
      <c r="AE17" s="125"/>
      <c r="AF17" s="125"/>
      <c r="AG17" s="125"/>
      <c r="AH17" s="125"/>
      <c r="AI17" s="125"/>
      <c r="AJ17" s="125"/>
      <c r="AK17" s="125"/>
      <c r="AL17" s="125"/>
      <c r="AM17" s="131"/>
      <c r="AN17" s="131"/>
      <c r="AO17" s="131"/>
      <c r="AP17" s="123">
        <f>(0.27+0.3+0.27)/3</f>
        <v>0.28000000000000003</v>
      </c>
      <c r="AQ17" s="123">
        <f>(0.23+0.2+0.1)/3</f>
        <v>0.17666666666666667</v>
      </c>
      <c r="AR17" s="123"/>
      <c r="AS17" s="327"/>
      <c r="AT17" s="22"/>
    </row>
    <row r="18" spans="1:46" ht="3.95" customHeight="1">
      <c r="A18" s="134"/>
      <c r="B18" s="127"/>
      <c r="C18" s="128"/>
      <c r="D18" s="128"/>
      <c r="E18" s="128"/>
      <c r="F18" s="128"/>
      <c r="G18" s="128"/>
      <c r="H18" s="128"/>
      <c r="I18" s="128"/>
      <c r="J18" s="128"/>
      <c r="K18" s="128"/>
      <c r="L18" s="128"/>
      <c r="M18" s="128"/>
      <c r="N18" s="128"/>
      <c r="O18" s="128"/>
      <c r="P18" s="128"/>
      <c r="Q18" s="128"/>
      <c r="R18" s="128"/>
      <c r="S18" s="128"/>
      <c r="T18" s="128"/>
      <c r="U18" s="128"/>
      <c r="V18" s="128"/>
      <c r="W18" s="128"/>
      <c r="X18" s="128"/>
      <c r="Y18" s="128"/>
      <c r="Z18" s="128"/>
      <c r="AA18" s="128"/>
      <c r="AB18" s="128"/>
      <c r="AC18" s="128"/>
      <c r="AD18" s="128"/>
      <c r="AE18" s="128"/>
      <c r="AF18" s="128"/>
      <c r="AG18" s="128"/>
      <c r="AH18" s="128"/>
      <c r="AI18" s="128"/>
      <c r="AJ18" s="128"/>
      <c r="AK18" s="128"/>
      <c r="AL18" s="128"/>
      <c r="AM18" s="129"/>
      <c r="AN18" s="129"/>
      <c r="AO18" s="129"/>
      <c r="AP18" s="130"/>
      <c r="AQ18" s="130"/>
      <c r="AR18" s="128"/>
      <c r="AS18" s="325"/>
    </row>
    <row r="19" spans="1:46">
      <c r="A19" s="121">
        <v>7</v>
      </c>
      <c r="B19" s="122" t="s">
        <v>212</v>
      </c>
      <c r="C19" s="124">
        <v>0.4</v>
      </c>
      <c r="D19" s="124">
        <v>0.4</v>
      </c>
      <c r="E19" s="124">
        <v>0.4</v>
      </c>
      <c r="F19" s="125"/>
      <c r="G19" s="124">
        <v>0.3</v>
      </c>
      <c r="H19" s="125"/>
      <c r="I19" s="124">
        <v>0.3</v>
      </c>
      <c r="J19" s="124">
        <v>0.4</v>
      </c>
      <c r="K19" s="124">
        <v>0.3</v>
      </c>
      <c r="L19" s="124">
        <v>0.4</v>
      </c>
      <c r="M19" s="124">
        <v>0.3</v>
      </c>
      <c r="N19" s="124">
        <v>0.4</v>
      </c>
      <c r="O19" s="125"/>
      <c r="P19" s="125"/>
      <c r="Q19" s="125"/>
      <c r="R19" s="124">
        <v>0.3</v>
      </c>
      <c r="S19" s="124">
        <v>0.4</v>
      </c>
      <c r="T19" s="124">
        <v>0.3</v>
      </c>
      <c r="U19" s="124">
        <v>0.3</v>
      </c>
      <c r="V19" s="123">
        <v>0.25</v>
      </c>
      <c r="W19" s="124">
        <v>0.3</v>
      </c>
      <c r="X19" s="125"/>
      <c r="Y19" s="125"/>
      <c r="Z19" s="125"/>
      <c r="AA19" s="125"/>
      <c r="AB19" s="125"/>
      <c r="AC19" s="125"/>
      <c r="AD19" s="125"/>
      <c r="AE19" s="125"/>
      <c r="AF19" s="125"/>
      <c r="AG19" s="125"/>
      <c r="AH19" s="125"/>
      <c r="AI19" s="125"/>
      <c r="AJ19" s="125"/>
      <c r="AK19" s="125"/>
      <c r="AL19" s="125"/>
      <c r="AM19" s="131"/>
      <c r="AN19" s="131"/>
      <c r="AO19" s="131"/>
      <c r="AP19" s="124">
        <v>0.3</v>
      </c>
      <c r="AQ19" s="124">
        <v>0.3</v>
      </c>
      <c r="AR19" s="124"/>
      <c r="AS19" s="328"/>
      <c r="AT19" s="22"/>
    </row>
    <row r="20" spans="1:46" ht="3.95" customHeight="1">
      <c r="A20" s="134"/>
      <c r="B20" s="127"/>
      <c r="C20" s="128"/>
      <c r="D20" s="128"/>
      <c r="E20" s="128"/>
      <c r="F20" s="128"/>
      <c r="G20" s="128"/>
      <c r="H20" s="128"/>
      <c r="I20" s="128"/>
      <c r="J20" s="128"/>
      <c r="K20" s="128"/>
      <c r="L20" s="128"/>
      <c r="M20" s="128"/>
      <c r="N20" s="128"/>
      <c r="O20" s="128"/>
      <c r="P20" s="128"/>
      <c r="Q20" s="128"/>
      <c r="R20" s="128"/>
      <c r="S20" s="128"/>
      <c r="T20" s="128"/>
      <c r="U20" s="128"/>
      <c r="V20" s="128"/>
      <c r="W20" s="128"/>
      <c r="X20" s="128"/>
      <c r="Y20" s="128"/>
      <c r="Z20" s="128"/>
      <c r="AA20" s="128"/>
      <c r="AB20" s="128"/>
      <c r="AC20" s="128"/>
      <c r="AD20" s="128"/>
      <c r="AE20" s="128"/>
      <c r="AF20" s="128"/>
      <c r="AG20" s="128"/>
      <c r="AH20" s="128"/>
      <c r="AI20" s="128"/>
      <c r="AJ20" s="128"/>
      <c r="AK20" s="128"/>
      <c r="AL20" s="128"/>
      <c r="AM20" s="129"/>
      <c r="AN20" s="129"/>
      <c r="AO20" s="129"/>
      <c r="AP20" s="130"/>
      <c r="AQ20" s="130"/>
      <c r="AR20" s="128"/>
      <c r="AS20" s="325"/>
    </row>
    <row r="21" spans="1:46">
      <c r="A21" s="121">
        <v>8</v>
      </c>
      <c r="B21" s="122" t="s">
        <v>213</v>
      </c>
      <c r="C21" s="124">
        <f>(0.4+0.4+0.4)/3</f>
        <v>0.40000000000000008</v>
      </c>
      <c r="D21" s="132">
        <f>(1.4+1.1+0.1)/3</f>
        <v>0.8666666666666667</v>
      </c>
      <c r="E21" s="209">
        <f>(0.2+0.2+0.1)/3</f>
        <v>0.16666666666666666</v>
      </c>
      <c r="F21" s="124">
        <f>(0.5+0.7+0.2)/3</f>
        <v>0.46666666666666662</v>
      </c>
      <c r="G21" s="123">
        <f>(0.1+0.1+0.1)/3</f>
        <v>0.10000000000000002</v>
      </c>
      <c r="H21" s="124">
        <f>(0.3+0.3+0.3)/3</f>
        <v>0.3</v>
      </c>
      <c r="I21" s="123">
        <f>+(0.2+0.2+0.2)/3</f>
        <v>0.20000000000000004</v>
      </c>
      <c r="J21" s="124">
        <f>(0.4+0.3+0.3)/3</f>
        <v>0.33333333333333331</v>
      </c>
      <c r="K21" s="132">
        <f>(0.7+0.5+0.6)/3</f>
        <v>0.6</v>
      </c>
      <c r="L21" s="132">
        <f>(0.5+0.6+0.6)/3</f>
        <v>0.56666666666666676</v>
      </c>
      <c r="M21" s="124">
        <f>(0.5+0.3+0.3)/3</f>
        <v>0.3666666666666667</v>
      </c>
      <c r="N21" s="124">
        <f>(0.5+0.3+0.3)/3</f>
        <v>0.3666666666666667</v>
      </c>
      <c r="O21" s="125"/>
      <c r="P21" s="124">
        <f>(0.4+0.4+0.4+0.1+0.2)/5</f>
        <v>0.30000000000000004</v>
      </c>
      <c r="Q21" s="124">
        <f>(0.4+0.4+0.4)/3</f>
        <v>0.40000000000000008</v>
      </c>
      <c r="R21" s="132">
        <f>(0.6+0.6+0.4)/3</f>
        <v>0.53333333333333333</v>
      </c>
      <c r="S21" s="124">
        <f>(0.3+0.3+0.3)/3</f>
        <v>0.3</v>
      </c>
      <c r="T21" s="124">
        <f>(0.4+0.3+0.3)/3</f>
        <v>0.33333333333333331</v>
      </c>
      <c r="U21" s="124">
        <f>(0.2+0.5+0.4)/3</f>
        <v>0.3666666666666667</v>
      </c>
      <c r="V21" s="124">
        <f>(0.4+0.3+0.3)/3</f>
        <v>0.33333333333333331</v>
      </c>
      <c r="W21" s="124">
        <f>(0.4+0.4+0.4)/3</f>
        <v>0.40000000000000008</v>
      </c>
      <c r="X21" s="124">
        <f>(0.4+0.4+0.4)/3</f>
        <v>0.40000000000000008</v>
      </c>
      <c r="Y21" s="123">
        <f>(0.3+0.4+0.1)/3</f>
        <v>0.26666666666666666</v>
      </c>
      <c r="Z21" s="132">
        <v>0.5</v>
      </c>
      <c r="AA21" s="132">
        <v>0.6</v>
      </c>
      <c r="AB21" s="132">
        <v>0.6</v>
      </c>
      <c r="AC21" s="125"/>
      <c r="AD21" s="125"/>
      <c r="AE21" s="125"/>
      <c r="AF21" s="125"/>
      <c r="AG21" s="125"/>
      <c r="AH21" s="125"/>
      <c r="AI21" s="125"/>
      <c r="AJ21" s="125"/>
      <c r="AK21" s="125"/>
      <c r="AL21" s="125"/>
      <c r="AM21" s="131"/>
      <c r="AN21" s="131"/>
      <c r="AO21" s="131"/>
      <c r="AP21" s="132">
        <v>0.5</v>
      </c>
      <c r="AQ21" s="124">
        <v>0.3</v>
      </c>
      <c r="AR21" s="124"/>
      <c r="AS21" s="328"/>
      <c r="AT21" s="219"/>
    </row>
    <row r="22" spans="1:46" ht="3.95" customHeight="1">
      <c r="A22" s="134"/>
      <c r="B22" s="127"/>
      <c r="C22" s="128"/>
      <c r="D22" s="128"/>
      <c r="E22" s="128"/>
      <c r="F22" s="128"/>
      <c r="G22" s="128"/>
      <c r="H22" s="128"/>
      <c r="I22" s="128"/>
      <c r="J22" s="128"/>
      <c r="K22" s="128"/>
      <c r="L22" s="129"/>
      <c r="M22" s="268"/>
      <c r="N22" s="267"/>
      <c r="O22" s="128"/>
      <c r="P22" s="128"/>
      <c r="Q22" s="128"/>
      <c r="R22" s="128"/>
      <c r="S22" s="128"/>
      <c r="T22" s="128"/>
      <c r="U22" s="128"/>
      <c r="V22" s="128"/>
      <c r="W22" s="128"/>
      <c r="X22" s="128"/>
      <c r="Y22" s="128"/>
      <c r="Z22" s="128"/>
      <c r="AA22" s="128"/>
      <c r="AB22" s="128"/>
      <c r="AC22" s="128"/>
      <c r="AD22" s="128"/>
      <c r="AE22" s="128"/>
      <c r="AF22" s="128"/>
      <c r="AG22" s="128"/>
      <c r="AH22" s="128"/>
      <c r="AI22" s="128"/>
      <c r="AJ22" s="128"/>
      <c r="AK22" s="128"/>
      <c r="AL22" s="128"/>
      <c r="AM22" s="129"/>
      <c r="AN22" s="129"/>
      <c r="AO22" s="129"/>
      <c r="AP22" s="130"/>
      <c r="AQ22" s="130"/>
      <c r="AR22" s="128"/>
      <c r="AS22" s="325"/>
    </row>
    <row r="23" spans="1:46">
      <c r="A23" s="121">
        <v>9</v>
      </c>
      <c r="B23" s="122" t="s">
        <v>214</v>
      </c>
      <c r="C23" s="210">
        <v>0.57999999999999996</v>
      </c>
      <c r="D23" s="132">
        <v>0.65</v>
      </c>
      <c r="E23" s="216">
        <v>0.42</v>
      </c>
      <c r="F23" s="132">
        <v>0.6</v>
      </c>
      <c r="G23" s="132">
        <v>0.53</v>
      </c>
      <c r="H23" s="132">
        <v>0.76</v>
      </c>
      <c r="I23" s="132">
        <v>0.64</v>
      </c>
      <c r="J23" s="132">
        <v>0.76</v>
      </c>
      <c r="K23" s="132">
        <v>0.84</v>
      </c>
      <c r="L23" s="132">
        <v>0.65</v>
      </c>
      <c r="M23" s="132">
        <v>0.65</v>
      </c>
      <c r="N23" s="125"/>
      <c r="O23" s="125"/>
      <c r="P23" s="125"/>
      <c r="Q23" s="125"/>
      <c r="R23" s="125"/>
      <c r="S23" s="125"/>
      <c r="T23" s="125"/>
      <c r="U23" s="125"/>
      <c r="V23" s="125"/>
      <c r="W23" s="125"/>
      <c r="X23" s="125"/>
      <c r="Y23" s="125"/>
      <c r="Z23" s="125"/>
      <c r="AA23" s="125"/>
      <c r="AB23" s="125"/>
      <c r="AC23" s="125"/>
      <c r="AD23" s="125"/>
      <c r="AE23" s="125"/>
      <c r="AF23" s="125"/>
      <c r="AG23" s="125"/>
      <c r="AH23" s="125"/>
      <c r="AI23" s="125"/>
      <c r="AJ23" s="125"/>
      <c r="AK23" s="125"/>
      <c r="AL23" s="125"/>
      <c r="AM23" s="131"/>
      <c r="AN23" s="131"/>
      <c r="AO23" s="131"/>
      <c r="AP23" s="132">
        <v>0.63</v>
      </c>
      <c r="AQ23" s="132">
        <v>0.56999999999999995</v>
      </c>
      <c r="AR23" s="132"/>
      <c r="AS23" s="329"/>
      <c r="AT23" s="22"/>
    </row>
    <row r="24" spans="1:46" ht="3.95" customHeight="1">
      <c r="A24" s="134"/>
      <c r="B24" s="127"/>
      <c r="C24" s="128"/>
      <c r="D24" s="128"/>
      <c r="E24" s="128"/>
      <c r="F24" s="128"/>
      <c r="G24" s="128"/>
      <c r="H24" s="128"/>
      <c r="I24" s="128"/>
      <c r="J24" s="128"/>
      <c r="K24" s="128"/>
      <c r="L24" s="128"/>
      <c r="M24" s="128"/>
      <c r="N24" s="128"/>
      <c r="O24" s="128"/>
      <c r="P24" s="128"/>
      <c r="Q24" s="128"/>
      <c r="R24" s="128"/>
      <c r="S24" s="128"/>
      <c r="T24" s="128"/>
      <c r="U24" s="128"/>
      <c r="V24" s="128"/>
      <c r="W24" s="128"/>
      <c r="X24" s="128"/>
      <c r="Y24" s="128"/>
      <c r="Z24" s="128"/>
      <c r="AA24" s="128"/>
      <c r="AB24" s="128"/>
      <c r="AC24" s="128"/>
      <c r="AD24" s="128"/>
      <c r="AE24" s="128"/>
      <c r="AF24" s="128"/>
      <c r="AG24" s="128"/>
      <c r="AH24" s="128"/>
      <c r="AI24" s="128"/>
      <c r="AJ24" s="128"/>
      <c r="AK24" s="128"/>
      <c r="AL24" s="128"/>
      <c r="AM24" s="129"/>
      <c r="AN24" s="129"/>
      <c r="AO24" s="129"/>
      <c r="AP24" s="130"/>
      <c r="AQ24" s="130">
        <v>1</v>
      </c>
      <c r="AR24" s="128"/>
      <c r="AS24" s="325"/>
    </row>
    <row r="25" spans="1:46">
      <c r="A25" s="121">
        <v>10</v>
      </c>
      <c r="B25" s="122" t="s">
        <v>215</v>
      </c>
      <c r="C25" s="125"/>
      <c r="D25" s="125"/>
      <c r="E25" s="125"/>
      <c r="F25" s="125"/>
      <c r="G25" s="124">
        <v>0.35</v>
      </c>
      <c r="H25" s="124">
        <v>0.32</v>
      </c>
      <c r="I25" s="124">
        <v>0.35</v>
      </c>
      <c r="J25" s="124">
        <v>0.35</v>
      </c>
      <c r="K25" s="124">
        <v>0.35</v>
      </c>
      <c r="L25" s="124">
        <v>0.35</v>
      </c>
      <c r="M25" s="124">
        <v>0.32</v>
      </c>
      <c r="N25" s="124">
        <v>0.3</v>
      </c>
      <c r="O25" s="124">
        <v>0.32</v>
      </c>
      <c r="P25" s="124">
        <v>0.35</v>
      </c>
      <c r="Q25" s="125"/>
      <c r="R25" s="124">
        <v>0.3</v>
      </c>
      <c r="S25" s="124">
        <v>0.3</v>
      </c>
      <c r="T25" s="125"/>
      <c r="U25" s="125"/>
      <c r="V25" s="125"/>
      <c r="W25" s="125"/>
      <c r="X25" s="124">
        <v>0.34</v>
      </c>
      <c r="Y25" s="124">
        <v>0.31</v>
      </c>
      <c r="Z25" s="125"/>
      <c r="AA25" s="125"/>
      <c r="AB25" s="125"/>
      <c r="AC25" s="125"/>
      <c r="AD25" s="125"/>
      <c r="AE25" s="125"/>
      <c r="AF25" s="125"/>
      <c r="AG25" s="125"/>
      <c r="AH25" s="125"/>
      <c r="AI25" s="125"/>
      <c r="AJ25" s="125"/>
      <c r="AK25" s="125"/>
      <c r="AL25" s="125"/>
      <c r="AM25" s="131"/>
      <c r="AN25" s="131"/>
      <c r="AO25" s="131"/>
      <c r="AP25" s="133"/>
      <c r="AQ25" s="133"/>
      <c r="AR25" s="125"/>
      <c r="AS25" s="326"/>
      <c r="AT25" s="22"/>
    </row>
    <row r="26" spans="1:46" ht="3.95" customHeight="1">
      <c r="A26" s="134"/>
      <c r="B26" s="127"/>
      <c r="C26" s="128"/>
      <c r="D26" s="128"/>
      <c r="E26" s="128"/>
      <c r="F26" s="128"/>
      <c r="G26" s="128"/>
      <c r="H26" s="128"/>
      <c r="I26" s="128"/>
      <c r="J26" s="128"/>
      <c r="K26" s="128"/>
      <c r="L26" s="128"/>
      <c r="M26" s="128"/>
      <c r="N26" s="128"/>
      <c r="O26" s="128"/>
      <c r="P26" s="128"/>
      <c r="Q26" s="128"/>
      <c r="R26" s="128"/>
      <c r="S26" s="128"/>
      <c r="T26" s="128"/>
      <c r="U26" s="128"/>
      <c r="V26" s="128"/>
      <c r="W26" s="128"/>
      <c r="X26" s="128"/>
      <c r="Y26" s="128"/>
      <c r="Z26" s="128"/>
      <c r="AA26" s="128"/>
      <c r="AB26" s="128"/>
      <c r="AC26" s="128"/>
      <c r="AD26" s="128"/>
      <c r="AE26" s="128"/>
      <c r="AF26" s="128"/>
      <c r="AG26" s="128"/>
      <c r="AH26" s="128"/>
      <c r="AI26" s="128"/>
      <c r="AJ26" s="128"/>
      <c r="AK26" s="128"/>
      <c r="AL26" s="128"/>
      <c r="AM26" s="129"/>
      <c r="AN26" s="129"/>
      <c r="AO26" s="129"/>
      <c r="AP26" s="130"/>
      <c r="AQ26" s="130"/>
      <c r="AR26" s="128"/>
      <c r="AS26" s="325"/>
    </row>
    <row r="27" spans="1:46">
      <c r="A27" s="121">
        <v>11</v>
      </c>
      <c r="B27" s="122" t="s">
        <v>216</v>
      </c>
      <c r="C27" s="125"/>
      <c r="D27" s="123">
        <v>0.15</v>
      </c>
      <c r="E27" s="123">
        <v>0.18</v>
      </c>
      <c r="F27" s="125"/>
      <c r="G27" s="217"/>
      <c r="H27" s="125"/>
      <c r="I27" s="125"/>
      <c r="J27" s="123">
        <v>0.15</v>
      </c>
      <c r="K27" s="123">
        <v>0.17</v>
      </c>
      <c r="L27" s="123">
        <v>0.17</v>
      </c>
      <c r="M27" s="125"/>
      <c r="N27" s="123">
        <f>(0.1+0+0.1+0.1+0+0.1+0+0+0+0+0+0)/12</f>
        <v>3.3333333333333333E-2</v>
      </c>
      <c r="O27" s="125"/>
      <c r="P27" s="125"/>
      <c r="Q27" s="125"/>
      <c r="R27" s="123">
        <v>0.23</v>
      </c>
      <c r="S27" s="124">
        <v>0.33</v>
      </c>
      <c r="T27" s="123">
        <v>0.13</v>
      </c>
      <c r="U27" s="123">
        <f>(0.15+0.1+0.15+0.1+0+0.1+0.1+0+0.1+0.1+0+0.1)/12</f>
        <v>8.3333333333333329E-2</v>
      </c>
      <c r="V27" s="123">
        <v>0.13</v>
      </c>
      <c r="W27" s="123">
        <v>0.24</v>
      </c>
      <c r="X27" s="125"/>
      <c r="Y27" s="125"/>
      <c r="Z27" s="123">
        <v>0.1</v>
      </c>
      <c r="AA27" s="125"/>
      <c r="AB27" s="125"/>
      <c r="AC27" s="125"/>
      <c r="AD27" s="125"/>
      <c r="AE27" s="125"/>
      <c r="AF27" s="125"/>
      <c r="AG27" s="125"/>
      <c r="AH27" s="125"/>
      <c r="AI27" s="125"/>
      <c r="AJ27" s="125"/>
      <c r="AK27" s="125"/>
      <c r="AL27" s="125"/>
      <c r="AM27" s="131"/>
      <c r="AN27" s="131"/>
      <c r="AO27" s="131"/>
      <c r="AP27" s="133"/>
      <c r="AQ27" s="133"/>
      <c r="AR27" s="125"/>
      <c r="AS27" s="326"/>
      <c r="AT27" s="223"/>
    </row>
    <row r="28" spans="1:46" ht="3.95" customHeight="1">
      <c r="A28" s="134"/>
      <c r="B28" s="127"/>
      <c r="C28" s="128"/>
      <c r="D28" s="128"/>
      <c r="E28" s="128"/>
      <c r="F28" s="128"/>
      <c r="G28" s="128"/>
      <c r="H28" s="128"/>
      <c r="I28" s="128"/>
      <c r="J28" s="128"/>
      <c r="K28" s="128"/>
      <c r="L28" s="128"/>
      <c r="M28" s="128"/>
      <c r="N28" s="128"/>
      <c r="O28" s="128"/>
      <c r="P28" s="128"/>
      <c r="Q28" s="128"/>
      <c r="R28" s="128"/>
      <c r="S28" s="128"/>
      <c r="T28" s="128"/>
      <c r="U28" s="128"/>
      <c r="V28" s="128"/>
      <c r="W28" s="128"/>
      <c r="X28" s="128"/>
      <c r="Y28" s="128"/>
      <c r="Z28" s="128"/>
      <c r="AA28" s="128"/>
      <c r="AB28" s="128"/>
      <c r="AC28" s="128"/>
      <c r="AD28" s="128"/>
      <c r="AE28" s="128"/>
      <c r="AF28" s="128"/>
      <c r="AG28" s="128"/>
      <c r="AH28" s="128"/>
      <c r="AI28" s="128"/>
      <c r="AJ28" s="128"/>
      <c r="AK28" s="128"/>
      <c r="AL28" s="128"/>
      <c r="AM28" s="129"/>
      <c r="AN28" s="129"/>
      <c r="AO28" s="129"/>
      <c r="AP28" s="130"/>
      <c r="AQ28" s="130"/>
      <c r="AR28" s="128"/>
      <c r="AS28" s="325"/>
    </row>
    <row r="29" spans="1:46">
      <c r="A29" s="121">
        <v>12</v>
      </c>
      <c r="B29" s="122" t="s">
        <v>217</v>
      </c>
      <c r="C29" s="124">
        <v>0.35</v>
      </c>
      <c r="D29" s="123">
        <v>0.25</v>
      </c>
      <c r="E29" s="124">
        <v>0.3</v>
      </c>
      <c r="F29" s="124">
        <v>0.3</v>
      </c>
      <c r="G29" s="123">
        <v>0.28000000000000003</v>
      </c>
      <c r="H29" s="124">
        <v>0.35</v>
      </c>
      <c r="I29" s="124">
        <v>0.33</v>
      </c>
      <c r="J29" s="124">
        <v>0.38</v>
      </c>
      <c r="K29" s="124">
        <v>0.35</v>
      </c>
      <c r="L29" s="125"/>
      <c r="M29" s="124">
        <v>0.3</v>
      </c>
      <c r="N29" s="123">
        <v>0.23</v>
      </c>
      <c r="O29" s="123">
        <v>0.28999999999999998</v>
      </c>
      <c r="P29" s="124">
        <v>0.33</v>
      </c>
      <c r="Q29" s="124">
        <v>0.3</v>
      </c>
      <c r="R29" s="125"/>
      <c r="S29" s="123">
        <v>0.25</v>
      </c>
      <c r="T29" s="123">
        <v>0.2</v>
      </c>
      <c r="U29" s="125"/>
      <c r="V29" s="123">
        <v>0.28000000000000003</v>
      </c>
      <c r="W29" s="123">
        <v>0.23</v>
      </c>
      <c r="X29" s="123">
        <v>0.25</v>
      </c>
      <c r="Y29" s="125"/>
      <c r="Z29" s="124">
        <v>0.3</v>
      </c>
      <c r="AA29" s="123">
        <v>0.27</v>
      </c>
      <c r="AB29" s="125"/>
      <c r="AC29" s="125"/>
      <c r="AD29" s="125"/>
      <c r="AE29" s="125"/>
      <c r="AF29" s="125"/>
      <c r="AG29" s="125"/>
      <c r="AH29" s="125"/>
      <c r="AI29" s="125"/>
      <c r="AJ29" s="125"/>
      <c r="AK29" s="125"/>
      <c r="AL29" s="125"/>
      <c r="AM29" s="131"/>
      <c r="AN29" s="131"/>
      <c r="AO29" s="131"/>
      <c r="AP29" s="133"/>
      <c r="AQ29" s="133"/>
      <c r="AR29" s="125"/>
      <c r="AS29" s="326"/>
      <c r="AT29" s="221"/>
    </row>
    <row r="30" spans="1:46" ht="3.95" customHeight="1">
      <c r="A30" s="134"/>
      <c r="B30" s="127"/>
      <c r="C30" s="128"/>
      <c r="D30" s="128"/>
      <c r="E30" s="208"/>
      <c r="F30" s="128"/>
      <c r="G30" s="128"/>
      <c r="H30" s="128"/>
      <c r="I30" s="128"/>
      <c r="J30" s="128"/>
      <c r="K30" s="128"/>
      <c r="L30" s="128"/>
      <c r="M30" s="128"/>
      <c r="N30" s="128"/>
      <c r="O30" s="128"/>
      <c r="P30" s="128"/>
      <c r="Q30" s="128"/>
      <c r="R30" s="128"/>
      <c r="S30" s="128"/>
      <c r="T30" s="128"/>
      <c r="U30" s="128"/>
      <c r="V30" s="128"/>
      <c r="W30" s="128"/>
      <c r="X30" s="128"/>
      <c r="Y30" s="128"/>
      <c r="Z30" s="128"/>
      <c r="AA30" s="128"/>
      <c r="AB30" s="128"/>
      <c r="AC30" s="128"/>
      <c r="AD30" s="128"/>
      <c r="AE30" s="128"/>
      <c r="AF30" s="128"/>
      <c r="AG30" s="128"/>
      <c r="AH30" s="128"/>
      <c r="AI30" s="128"/>
      <c r="AJ30" s="128"/>
      <c r="AK30" s="128"/>
      <c r="AL30" s="128"/>
      <c r="AM30" s="129"/>
      <c r="AN30" s="129"/>
      <c r="AO30" s="129"/>
      <c r="AP30" s="130"/>
      <c r="AQ30" s="130"/>
      <c r="AR30" s="128"/>
      <c r="AS30" s="325"/>
    </row>
    <row r="31" spans="1:46">
      <c r="A31" s="121">
        <v>13</v>
      </c>
      <c r="B31" s="122" t="s">
        <v>218</v>
      </c>
      <c r="C31" s="132">
        <v>0.73</v>
      </c>
      <c r="D31" s="132">
        <v>0.7</v>
      </c>
      <c r="E31" s="124">
        <v>0.43</v>
      </c>
      <c r="F31" s="132">
        <v>0.63</v>
      </c>
      <c r="G31" s="132">
        <v>0.77</v>
      </c>
      <c r="H31" s="132">
        <v>0.53</v>
      </c>
      <c r="I31" s="124">
        <v>0.41</v>
      </c>
      <c r="J31" s="124">
        <v>0.41</v>
      </c>
      <c r="K31" s="132">
        <v>0.54</v>
      </c>
      <c r="L31" s="135">
        <v>1.1100000000000001</v>
      </c>
      <c r="M31" s="132">
        <v>0.93</v>
      </c>
      <c r="N31" s="135">
        <v>1.18</v>
      </c>
      <c r="O31" s="135">
        <v>1.07</v>
      </c>
      <c r="P31" s="125"/>
      <c r="Q31" s="132">
        <v>0.87</v>
      </c>
      <c r="R31" s="132">
        <v>0.8</v>
      </c>
      <c r="S31" s="132">
        <v>0.98</v>
      </c>
      <c r="T31" s="125"/>
      <c r="U31" s="125"/>
      <c r="V31" s="125"/>
      <c r="W31" s="125"/>
      <c r="X31" s="125"/>
      <c r="Y31" s="125"/>
      <c r="Z31" s="125"/>
      <c r="AA31" s="125"/>
      <c r="AB31" s="125"/>
      <c r="AC31" s="125"/>
      <c r="AD31" s="125"/>
      <c r="AE31" s="125"/>
      <c r="AF31" s="125"/>
      <c r="AG31" s="125"/>
      <c r="AH31" s="125"/>
      <c r="AI31" s="125"/>
      <c r="AJ31" s="125"/>
      <c r="AK31" s="125"/>
      <c r="AL31" s="125"/>
      <c r="AM31" s="131"/>
      <c r="AN31" s="131"/>
      <c r="AO31" s="131"/>
      <c r="AP31" s="133"/>
      <c r="AQ31" s="133"/>
      <c r="AR31" s="125"/>
      <c r="AS31" s="326"/>
      <c r="AT31" s="22"/>
    </row>
    <row r="32" spans="1:46" ht="3.95" customHeight="1">
      <c r="A32" s="136"/>
      <c r="B32" s="127"/>
      <c r="C32" s="128"/>
      <c r="D32" s="128"/>
      <c r="E32" s="128"/>
      <c r="F32" s="128"/>
      <c r="G32" s="128"/>
      <c r="H32" s="128"/>
      <c r="I32" s="128"/>
      <c r="J32" s="128"/>
      <c r="K32" s="128"/>
      <c r="L32" s="128"/>
      <c r="M32" s="128"/>
      <c r="N32" s="128"/>
      <c r="O32" s="128"/>
      <c r="P32" s="128"/>
      <c r="Q32" s="128"/>
      <c r="R32" s="128"/>
      <c r="S32" s="128"/>
      <c r="T32" s="128"/>
      <c r="U32" s="128"/>
      <c r="V32" s="128"/>
      <c r="W32" s="128"/>
      <c r="X32" s="128"/>
      <c r="Y32" s="128"/>
      <c r="Z32" s="128"/>
      <c r="AA32" s="128"/>
      <c r="AB32" s="128"/>
      <c r="AC32" s="128"/>
      <c r="AD32" s="128"/>
      <c r="AE32" s="128"/>
      <c r="AF32" s="128"/>
      <c r="AG32" s="128"/>
      <c r="AH32" s="128"/>
      <c r="AI32" s="128"/>
      <c r="AJ32" s="128"/>
      <c r="AK32" s="128"/>
      <c r="AL32" s="128"/>
      <c r="AM32" s="129"/>
      <c r="AN32" s="129"/>
      <c r="AO32" s="129"/>
      <c r="AP32" s="130"/>
      <c r="AQ32" s="130"/>
      <c r="AR32" s="128"/>
      <c r="AS32" s="325"/>
    </row>
    <row r="33" spans="1:56">
      <c r="A33" s="121">
        <v>14</v>
      </c>
      <c r="B33" s="122" t="s">
        <v>219</v>
      </c>
      <c r="C33" s="123">
        <v>0.22</v>
      </c>
      <c r="D33" s="123">
        <v>0.28999999999999998</v>
      </c>
      <c r="E33" s="124">
        <v>0.37</v>
      </c>
      <c r="F33" s="123">
        <v>0.22</v>
      </c>
      <c r="G33" s="123">
        <v>0.27</v>
      </c>
      <c r="H33" s="124">
        <v>0.43</v>
      </c>
      <c r="I33" s="123">
        <v>0.13</v>
      </c>
      <c r="J33" s="132">
        <v>0.67</v>
      </c>
      <c r="K33" s="124">
        <v>0.32</v>
      </c>
      <c r="L33" s="135">
        <v>1</v>
      </c>
      <c r="M33" s="123">
        <v>0.18</v>
      </c>
      <c r="N33" s="125"/>
      <c r="O33" s="125"/>
      <c r="P33" s="125"/>
      <c r="Q33" s="125"/>
      <c r="R33" s="125"/>
      <c r="S33" s="125"/>
      <c r="T33" s="125"/>
      <c r="U33" s="125"/>
      <c r="V33" s="125"/>
      <c r="W33" s="125"/>
      <c r="X33" s="125"/>
      <c r="Y33" s="125"/>
      <c r="Z33" s="125"/>
      <c r="AA33" s="125"/>
      <c r="AB33" s="125"/>
      <c r="AC33" s="125"/>
      <c r="AD33" s="125"/>
      <c r="AE33" s="125"/>
      <c r="AF33" s="125"/>
      <c r="AG33" s="125"/>
      <c r="AH33" s="125"/>
      <c r="AI33" s="125"/>
      <c r="AJ33" s="125"/>
      <c r="AK33" s="125"/>
      <c r="AL33" s="125"/>
      <c r="AM33" s="131"/>
      <c r="AN33" s="131"/>
      <c r="AO33" s="131"/>
      <c r="AP33" s="133"/>
      <c r="AQ33" s="133"/>
      <c r="AR33" s="125"/>
      <c r="AS33" s="326"/>
      <c r="AT33" s="223"/>
    </row>
    <row r="34" spans="1:56" ht="3.95" customHeight="1">
      <c r="A34" s="136"/>
      <c r="B34" s="127"/>
      <c r="C34" s="128"/>
      <c r="D34" s="128"/>
      <c r="E34" s="128"/>
      <c r="F34" s="128"/>
      <c r="G34" s="128"/>
      <c r="H34" s="128"/>
      <c r="I34" s="128"/>
      <c r="J34" s="128"/>
      <c r="K34" s="128"/>
      <c r="L34" s="128"/>
      <c r="M34" s="128"/>
      <c r="N34" s="128"/>
      <c r="O34" s="128"/>
      <c r="P34" s="128"/>
      <c r="Q34" s="128"/>
      <c r="R34" s="128"/>
      <c r="S34" s="128"/>
      <c r="T34" s="128"/>
      <c r="U34" s="128"/>
      <c r="V34" s="128"/>
      <c r="W34" s="128"/>
      <c r="X34" s="128"/>
      <c r="Y34" s="128"/>
      <c r="Z34" s="128"/>
      <c r="AA34" s="128"/>
      <c r="AB34" s="128"/>
      <c r="AC34" s="128"/>
      <c r="AD34" s="128"/>
      <c r="AE34" s="128"/>
      <c r="AF34" s="128"/>
      <c r="AG34" s="128"/>
      <c r="AH34" s="128"/>
      <c r="AI34" s="128"/>
      <c r="AJ34" s="128"/>
      <c r="AK34" s="128"/>
      <c r="AL34" s="128"/>
      <c r="AM34" s="129"/>
      <c r="AN34" s="129"/>
      <c r="AO34" s="129"/>
      <c r="AP34" s="130"/>
      <c r="AQ34" s="130"/>
      <c r="AR34" s="128"/>
      <c r="AS34" s="325"/>
    </row>
    <row r="35" spans="1:56" ht="13.5" thickBot="1">
      <c r="A35" s="137">
        <v>15</v>
      </c>
      <c r="B35" s="138" t="s">
        <v>220</v>
      </c>
      <c r="C35" s="139">
        <f>(0.32+0.23+0.23+0.23)/4</f>
        <v>0.2525</v>
      </c>
      <c r="D35" s="139">
        <f>(0.45+0.23+0.23+0.23)/4</f>
        <v>0.28500000000000003</v>
      </c>
      <c r="E35" s="139">
        <f>(0.32+0.28+0.25+0.25)/4</f>
        <v>0.27500000000000002</v>
      </c>
      <c r="F35" s="140">
        <f>(0.33+0.33+0.35+0.33+0.33)/5</f>
        <v>0.33400000000000002</v>
      </c>
      <c r="G35" s="139">
        <f>(0.37+0.27+0.27+0.3)/4</f>
        <v>0.30249999999999999</v>
      </c>
      <c r="H35" s="139">
        <f>(0.23+0.22+0.32+0.32)/4</f>
        <v>0.27250000000000002</v>
      </c>
      <c r="I35" s="139">
        <f>(0.28+0.28+0.28+0.3)/4</f>
        <v>0.28500000000000003</v>
      </c>
      <c r="J35" s="141"/>
      <c r="K35" s="141"/>
      <c r="L35" s="141"/>
      <c r="M35" s="141"/>
      <c r="N35" s="141"/>
      <c r="O35" s="141"/>
      <c r="P35" s="141"/>
      <c r="Q35" s="141"/>
      <c r="R35" s="141"/>
      <c r="S35" s="141"/>
      <c r="T35" s="141"/>
      <c r="U35" s="141"/>
      <c r="V35" s="141"/>
      <c r="W35" s="141"/>
      <c r="X35" s="141"/>
      <c r="Y35" s="141"/>
      <c r="Z35" s="141"/>
      <c r="AA35" s="141"/>
      <c r="AB35" s="141"/>
      <c r="AC35" s="141"/>
      <c r="AD35" s="141"/>
      <c r="AE35" s="141"/>
      <c r="AF35" s="141"/>
      <c r="AG35" s="141"/>
      <c r="AH35" s="141"/>
      <c r="AI35" s="141"/>
      <c r="AJ35" s="141"/>
      <c r="AK35" s="141"/>
      <c r="AL35" s="141"/>
      <c r="AM35" s="142"/>
      <c r="AN35" s="142"/>
      <c r="AO35" s="142"/>
      <c r="AP35" s="141"/>
      <c r="AQ35" s="141"/>
      <c r="AR35" s="141"/>
      <c r="AS35" s="330"/>
      <c r="AT35" s="22"/>
    </row>
    <row r="36" spans="1:56">
      <c r="AR36" s="322"/>
    </row>
    <row r="37" spans="1:56">
      <c r="AV37" s="341"/>
    </row>
    <row r="38" spans="1:56" ht="18">
      <c r="A38" s="387" t="s">
        <v>229</v>
      </c>
      <c r="B38" s="387"/>
      <c r="C38" s="387"/>
      <c r="D38" s="387"/>
      <c r="E38" s="387"/>
      <c r="F38" s="387"/>
      <c r="G38" s="387"/>
      <c r="H38" s="387"/>
      <c r="I38" s="387"/>
      <c r="J38" s="387"/>
      <c r="K38" s="387"/>
      <c r="L38" s="387"/>
      <c r="M38" s="387"/>
      <c r="N38" s="387"/>
      <c r="O38" s="387"/>
      <c r="P38" s="387"/>
      <c r="Q38" s="387"/>
      <c r="R38" s="387"/>
      <c r="S38" s="387"/>
      <c r="T38" s="387"/>
      <c r="U38" s="387"/>
      <c r="V38" s="387"/>
      <c r="W38" s="387"/>
      <c r="X38" s="387"/>
      <c r="Y38" s="387"/>
      <c r="Z38" s="387"/>
      <c r="AA38" s="387"/>
      <c r="AB38" s="387"/>
      <c r="AC38" s="387"/>
      <c r="AD38" s="387"/>
      <c r="AE38" s="387"/>
      <c r="AF38" s="387"/>
      <c r="AG38" s="387"/>
      <c r="AH38" s="387"/>
      <c r="AI38" s="387"/>
      <c r="AJ38" s="387"/>
      <c r="AK38" s="387"/>
      <c r="AL38" s="387"/>
      <c r="AM38" s="387"/>
      <c r="AN38" s="387"/>
      <c r="AO38" s="387"/>
      <c r="AP38" s="387"/>
      <c r="AQ38" s="387"/>
      <c r="AR38" s="312"/>
      <c r="AS38" s="312"/>
    </row>
    <row r="39" spans="1:56" ht="18">
      <c r="A39" s="387" t="str">
        <f>A2</f>
        <v xml:space="preserve"> BULAN DESEMBER 2019</v>
      </c>
      <c r="B39" s="387"/>
      <c r="C39" s="387"/>
      <c r="D39" s="387"/>
      <c r="E39" s="387"/>
      <c r="F39" s="387"/>
      <c r="G39" s="387"/>
      <c r="H39" s="387"/>
      <c r="I39" s="387"/>
      <c r="J39" s="387"/>
      <c r="K39" s="387"/>
      <c r="L39" s="387"/>
      <c r="M39" s="387"/>
      <c r="N39" s="387"/>
      <c r="O39" s="387"/>
      <c r="P39" s="387"/>
      <c r="Q39" s="387"/>
      <c r="R39" s="387"/>
      <c r="S39" s="387"/>
      <c r="T39" s="387"/>
      <c r="U39" s="387"/>
      <c r="V39" s="387"/>
      <c r="W39" s="387"/>
      <c r="X39" s="387"/>
      <c r="Y39" s="387"/>
      <c r="Z39" s="387"/>
      <c r="AA39" s="387"/>
      <c r="AB39" s="387"/>
      <c r="AC39" s="387"/>
      <c r="AD39" s="387"/>
      <c r="AE39" s="387"/>
      <c r="AF39" s="387"/>
      <c r="AG39" s="387"/>
      <c r="AH39" s="387"/>
      <c r="AI39" s="387"/>
      <c r="AJ39" s="387"/>
      <c r="AK39" s="387"/>
      <c r="AL39" s="387"/>
      <c r="AM39" s="387"/>
      <c r="AN39" s="387"/>
      <c r="AO39" s="387"/>
      <c r="AP39" s="387"/>
      <c r="AQ39" s="387"/>
      <c r="AR39" s="312"/>
      <c r="AS39" s="312"/>
    </row>
    <row r="40" spans="1:56" ht="13.5" thickBot="1">
      <c r="C40" s="143"/>
      <c r="D40" s="143"/>
      <c r="E40" s="143"/>
      <c r="F40" s="143"/>
      <c r="G40" s="143"/>
      <c r="H40" s="143"/>
      <c r="I40" s="143"/>
      <c r="J40" s="143"/>
      <c r="K40" s="143"/>
      <c r="L40" s="143"/>
      <c r="M40" s="143"/>
      <c r="N40" s="143"/>
      <c r="O40" s="143"/>
      <c r="P40" s="143"/>
      <c r="Q40" s="143"/>
      <c r="R40" s="143"/>
      <c r="S40" s="143"/>
      <c r="T40" s="143"/>
      <c r="U40" s="143"/>
      <c r="V40" s="143"/>
      <c r="W40" s="143"/>
      <c r="X40" s="143"/>
      <c r="Y40" s="143"/>
      <c r="Z40" s="143"/>
      <c r="AA40" s="143"/>
      <c r="AB40" s="143"/>
      <c r="AC40" s="143"/>
      <c r="AD40" s="143"/>
      <c r="AE40" s="143"/>
    </row>
    <row r="41" spans="1:56">
      <c r="A41" s="421" t="s">
        <v>1</v>
      </c>
      <c r="B41" s="115" t="s">
        <v>227</v>
      </c>
      <c r="C41" s="413">
        <v>1</v>
      </c>
      <c r="D41" s="413">
        <v>2</v>
      </c>
      <c r="E41" s="413">
        <v>3</v>
      </c>
      <c r="F41" s="413">
        <v>4</v>
      </c>
      <c r="G41" s="413">
        <v>5</v>
      </c>
      <c r="H41" s="413">
        <v>6</v>
      </c>
      <c r="I41" s="413">
        <v>7</v>
      </c>
      <c r="J41" s="413">
        <v>8</v>
      </c>
      <c r="K41" s="413">
        <v>9</v>
      </c>
      <c r="L41" s="413">
        <v>10</v>
      </c>
      <c r="M41" s="413">
        <v>11</v>
      </c>
      <c r="N41" s="413">
        <v>12</v>
      </c>
      <c r="O41" s="413">
        <v>13</v>
      </c>
      <c r="P41" s="413">
        <v>14</v>
      </c>
      <c r="Q41" s="413">
        <v>15</v>
      </c>
      <c r="R41" s="413">
        <v>16</v>
      </c>
      <c r="S41" s="413">
        <v>17</v>
      </c>
      <c r="T41" s="413">
        <v>18</v>
      </c>
      <c r="U41" s="413">
        <v>19</v>
      </c>
      <c r="V41" s="413">
        <v>20</v>
      </c>
      <c r="W41" s="413">
        <v>21</v>
      </c>
      <c r="X41" s="413">
        <v>22</v>
      </c>
      <c r="Y41" s="413">
        <v>23</v>
      </c>
      <c r="Z41" s="413">
        <v>24</v>
      </c>
      <c r="AA41" s="413">
        <v>25</v>
      </c>
      <c r="AB41" s="413">
        <v>26</v>
      </c>
      <c r="AC41" s="413">
        <v>27</v>
      </c>
      <c r="AD41" s="413">
        <v>28</v>
      </c>
      <c r="AE41" s="413">
        <v>29</v>
      </c>
      <c r="AF41" s="413">
        <v>32</v>
      </c>
      <c r="AG41" s="413">
        <v>33</v>
      </c>
      <c r="AH41" s="413">
        <v>43</v>
      </c>
      <c r="AI41" s="413">
        <v>44</v>
      </c>
      <c r="AJ41" s="413">
        <v>45</v>
      </c>
      <c r="AK41" s="413">
        <v>47</v>
      </c>
      <c r="AL41" s="413">
        <v>48</v>
      </c>
      <c r="AM41" s="423">
        <v>49</v>
      </c>
      <c r="AN41" s="413">
        <v>59</v>
      </c>
      <c r="AO41" s="413">
        <v>60</v>
      </c>
      <c r="AP41" s="413">
        <v>70</v>
      </c>
      <c r="AQ41" s="413">
        <v>71</v>
      </c>
      <c r="AR41" s="413">
        <v>72</v>
      </c>
      <c r="AS41" s="415">
        <v>73</v>
      </c>
    </row>
    <row r="42" spans="1:56">
      <c r="A42" s="422"/>
      <c r="B42" s="116" t="s">
        <v>197</v>
      </c>
      <c r="C42" s="420"/>
      <c r="D42" s="420"/>
      <c r="E42" s="420"/>
      <c r="F42" s="420"/>
      <c r="G42" s="420"/>
      <c r="H42" s="420"/>
      <c r="I42" s="420"/>
      <c r="J42" s="420"/>
      <c r="K42" s="420"/>
      <c r="L42" s="420"/>
      <c r="M42" s="420"/>
      <c r="N42" s="420"/>
      <c r="O42" s="420"/>
      <c r="P42" s="420"/>
      <c r="Q42" s="420"/>
      <c r="R42" s="420"/>
      <c r="S42" s="420"/>
      <c r="T42" s="420"/>
      <c r="U42" s="420"/>
      <c r="V42" s="420"/>
      <c r="W42" s="420"/>
      <c r="X42" s="420"/>
      <c r="Y42" s="420"/>
      <c r="Z42" s="420"/>
      <c r="AA42" s="420"/>
      <c r="AB42" s="420"/>
      <c r="AC42" s="420"/>
      <c r="AD42" s="420"/>
      <c r="AE42" s="420"/>
      <c r="AF42" s="420"/>
      <c r="AG42" s="420"/>
      <c r="AH42" s="420"/>
      <c r="AI42" s="420"/>
      <c r="AJ42" s="420"/>
      <c r="AK42" s="420"/>
      <c r="AL42" s="420"/>
      <c r="AM42" s="424"/>
      <c r="AN42" s="420"/>
      <c r="AO42" s="420"/>
      <c r="AP42" s="420"/>
      <c r="AQ42" s="420"/>
      <c r="AR42" s="414"/>
      <c r="AS42" s="416"/>
      <c r="BA42" s="144" t="s">
        <v>230</v>
      </c>
    </row>
    <row r="43" spans="1:56" ht="3.95" customHeight="1">
      <c r="A43" s="117"/>
      <c r="B43" s="118"/>
      <c r="C43" s="119"/>
      <c r="D43" s="119"/>
      <c r="E43" s="119"/>
      <c r="F43" s="119"/>
      <c r="G43" s="119"/>
      <c r="H43" s="119"/>
      <c r="I43" s="119"/>
      <c r="J43" s="119"/>
      <c r="K43" s="119"/>
      <c r="L43" s="119"/>
      <c r="M43" s="119"/>
      <c r="N43" s="119"/>
      <c r="O43" s="119"/>
      <c r="P43" s="119"/>
      <c r="Q43" s="119"/>
      <c r="R43" s="119"/>
      <c r="S43" s="119"/>
      <c r="T43" s="119"/>
      <c r="U43" s="119"/>
      <c r="V43" s="119"/>
      <c r="W43" s="119"/>
      <c r="X43" s="119"/>
      <c r="Y43" s="119"/>
      <c r="Z43" s="119"/>
      <c r="AA43" s="119"/>
      <c r="AB43" s="119"/>
      <c r="AC43" s="119"/>
      <c r="AD43" s="119"/>
      <c r="AE43" s="119"/>
      <c r="AF43" s="119"/>
      <c r="AG43" s="119"/>
      <c r="AH43" s="119"/>
      <c r="AI43" s="119"/>
      <c r="AJ43" s="119"/>
      <c r="AK43" s="119"/>
      <c r="AL43" s="119"/>
      <c r="AM43" s="119"/>
      <c r="AN43" s="119"/>
      <c r="AO43" s="119"/>
      <c r="AP43" s="120"/>
      <c r="AQ43" s="331"/>
      <c r="AR43" s="334"/>
      <c r="AS43" s="314"/>
    </row>
    <row r="44" spans="1:56">
      <c r="A44" s="121">
        <v>1</v>
      </c>
      <c r="B44" s="122" t="s">
        <v>202</v>
      </c>
      <c r="C44" s="273">
        <v>1469</v>
      </c>
      <c r="D44" s="274">
        <v>1205</v>
      </c>
      <c r="E44" s="275">
        <v>1028</v>
      </c>
      <c r="F44" s="275">
        <v>1540</v>
      </c>
      <c r="G44" s="275">
        <v>1572</v>
      </c>
      <c r="H44" s="275">
        <v>2418</v>
      </c>
      <c r="I44" s="275">
        <v>1399</v>
      </c>
      <c r="J44" s="276"/>
      <c r="K44" s="276"/>
      <c r="L44" s="276"/>
      <c r="M44" s="275">
        <v>1889</v>
      </c>
      <c r="N44" s="275">
        <v>2185</v>
      </c>
      <c r="O44" s="274">
        <v>1741</v>
      </c>
      <c r="P44" s="274">
        <v>2900</v>
      </c>
      <c r="Q44" s="276"/>
      <c r="R44" s="152">
        <v>3406</v>
      </c>
      <c r="S44" s="275">
        <v>2181</v>
      </c>
      <c r="T44" s="273">
        <v>1502</v>
      </c>
      <c r="U44" s="275">
        <v>947</v>
      </c>
      <c r="V44" s="277">
        <v>1099</v>
      </c>
      <c r="W44" s="273">
        <v>1202</v>
      </c>
      <c r="X44" s="276"/>
      <c r="Y44" s="274">
        <v>455</v>
      </c>
      <c r="Z44" s="274">
        <v>1180</v>
      </c>
      <c r="AA44" s="276"/>
      <c r="AB44" s="276"/>
      <c r="AC44" s="276"/>
      <c r="AD44" s="276"/>
      <c r="AE44" s="276"/>
      <c r="AF44" s="275">
        <v>323</v>
      </c>
      <c r="AG44" s="274">
        <v>1631</v>
      </c>
      <c r="AH44" s="275">
        <v>1614</v>
      </c>
      <c r="AI44" s="274">
        <v>960</v>
      </c>
      <c r="AJ44" s="275">
        <v>1759</v>
      </c>
      <c r="AK44" s="275">
        <v>380</v>
      </c>
      <c r="AL44" s="274">
        <v>3881</v>
      </c>
      <c r="AM44" s="275">
        <v>1652</v>
      </c>
      <c r="AN44" s="275">
        <v>24</v>
      </c>
      <c r="AO44" s="275">
        <v>31</v>
      </c>
      <c r="AP44" s="337">
        <v>11</v>
      </c>
      <c r="AQ44" s="337">
        <v>11</v>
      </c>
      <c r="AR44" s="335">
        <v>4</v>
      </c>
      <c r="AS44" s="315">
        <v>231</v>
      </c>
      <c r="AT44" s="283">
        <f>SUM(C44:AS44)</f>
        <v>43830</v>
      </c>
      <c r="AU44" s="144"/>
      <c r="AV44" s="20" t="str">
        <f>B44</f>
        <v>MEDAN KOTA</v>
      </c>
      <c r="AW44" s="24">
        <f>SUM(C44:AS44)</f>
        <v>43830</v>
      </c>
      <c r="AY44" s="24">
        <f>'PELAYANAN 24 JAM 22-23-24-25'!L4</f>
        <v>43138</v>
      </c>
      <c r="BA44" s="47">
        <f>AY44-AW44</f>
        <v>-692</v>
      </c>
      <c r="BC44">
        <v>1.4E-2</v>
      </c>
      <c r="BD44" s="47">
        <f>BC44*AW44</f>
        <v>613.62</v>
      </c>
    </row>
    <row r="45" spans="1:56" ht="3.95" customHeight="1">
      <c r="A45" s="126"/>
      <c r="B45" s="127"/>
      <c r="C45" s="148"/>
      <c r="D45" s="213">
        <v>1217</v>
      </c>
      <c r="E45" s="148"/>
      <c r="F45" s="148"/>
      <c r="G45" s="148"/>
      <c r="H45" s="148"/>
      <c r="I45" s="148"/>
      <c r="J45" s="148"/>
      <c r="K45" s="148"/>
      <c r="L45" s="148"/>
      <c r="M45" s="148"/>
      <c r="N45" s="148"/>
      <c r="O45" s="148"/>
      <c r="P45" s="148"/>
      <c r="Q45" s="148"/>
      <c r="R45" s="148"/>
      <c r="S45" s="148"/>
      <c r="T45" s="148"/>
      <c r="U45" s="148"/>
      <c r="V45" s="148"/>
      <c r="W45" s="148"/>
      <c r="X45" s="148"/>
      <c r="Y45" s="148"/>
      <c r="Z45" s="148"/>
      <c r="AA45" s="148"/>
      <c r="AB45" s="148"/>
      <c r="AC45" s="148"/>
      <c r="AD45" s="148"/>
      <c r="AE45" s="148"/>
      <c r="AF45" s="148"/>
      <c r="AG45" s="148"/>
      <c r="AH45" s="148"/>
      <c r="AI45" s="148"/>
      <c r="AJ45" s="148"/>
      <c r="AK45" s="148"/>
      <c r="AL45" s="148"/>
      <c r="AM45" s="149"/>
      <c r="AN45" s="149"/>
      <c r="AO45" s="149"/>
      <c r="AP45" s="150"/>
      <c r="AQ45" s="150"/>
      <c r="AR45" s="270"/>
      <c r="AS45" s="316"/>
      <c r="AU45" s="144"/>
      <c r="AW45" s="22"/>
      <c r="AY45" s="25">
        <f>'PELAYANAN 24 JAM 22-23-24-25'!L5</f>
        <v>0</v>
      </c>
      <c r="BC45"/>
      <c r="BD45" s="47">
        <f t="shared" ref="BD45:BD72" si="0">BC45*AW45</f>
        <v>0</v>
      </c>
    </row>
    <row r="46" spans="1:56">
      <c r="A46" s="121">
        <v>2</v>
      </c>
      <c r="B46" s="122" t="s">
        <v>205</v>
      </c>
      <c r="C46" s="145">
        <v>4539</v>
      </c>
      <c r="D46" s="214">
        <v>4380</v>
      </c>
      <c r="E46" s="147"/>
      <c r="F46" s="147"/>
      <c r="G46" s="145">
        <v>1861</v>
      </c>
      <c r="H46" s="145">
        <v>2405</v>
      </c>
      <c r="I46" s="145">
        <v>2253</v>
      </c>
      <c r="J46" s="145">
        <v>1971</v>
      </c>
      <c r="K46" s="145">
        <v>2547</v>
      </c>
      <c r="L46" s="145">
        <v>1916</v>
      </c>
      <c r="M46" s="147"/>
      <c r="N46" s="145">
        <v>974</v>
      </c>
      <c r="O46" s="145">
        <v>1294</v>
      </c>
      <c r="P46" s="145">
        <v>1135</v>
      </c>
      <c r="Q46" s="145">
        <v>2722</v>
      </c>
      <c r="R46" s="145">
        <v>2771</v>
      </c>
      <c r="S46" s="145">
        <v>2233</v>
      </c>
      <c r="T46" s="147">
        <v>15</v>
      </c>
      <c r="U46" s="145">
        <v>1448</v>
      </c>
      <c r="V46" s="145">
        <v>167</v>
      </c>
      <c r="W46" s="145">
        <v>3365</v>
      </c>
      <c r="X46" s="147"/>
      <c r="Y46" s="145">
        <v>2089</v>
      </c>
      <c r="Z46" s="147"/>
      <c r="AA46" s="147"/>
      <c r="AB46" s="145">
        <v>573</v>
      </c>
      <c r="AC46" s="147"/>
      <c r="AD46" s="147"/>
      <c r="AE46" s="147"/>
      <c r="AF46" s="147"/>
      <c r="AG46" s="147"/>
      <c r="AH46" s="147"/>
      <c r="AI46" s="147"/>
      <c r="AJ46" s="147"/>
      <c r="AK46" s="147"/>
      <c r="AL46" s="147"/>
      <c r="AM46" s="151"/>
      <c r="AN46" s="151"/>
      <c r="AO46" s="151"/>
      <c r="AP46" s="151">
        <v>221</v>
      </c>
      <c r="AQ46" s="153">
        <v>5</v>
      </c>
      <c r="AR46" s="336">
        <v>1</v>
      </c>
      <c r="AS46" s="317"/>
      <c r="AT46" s="283">
        <f>SUM(C46:AS46)</f>
        <v>40885</v>
      </c>
      <c r="AU46" s="144"/>
      <c r="AV46" s="20" t="str">
        <f>B46</f>
        <v>SEI AGUL</v>
      </c>
      <c r="AW46" s="24">
        <f>SUM(C46:AS46)</f>
        <v>40885</v>
      </c>
      <c r="AY46" s="24">
        <f>'PELAYANAN 24 JAM 22-23-24-25'!L6</f>
        <v>40643</v>
      </c>
      <c r="BA46" s="47">
        <f>AY46-AW46</f>
        <v>-242</v>
      </c>
      <c r="BC46">
        <v>1.4E-2</v>
      </c>
      <c r="BD46" s="47">
        <f t="shared" si="0"/>
        <v>572.39</v>
      </c>
    </row>
    <row r="47" spans="1:56" ht="3.75" customHeight="1">
      <c r="A47" s="126"/>
      <c r="B47" s="127"/>
      <c r="C47" s="148"/>
      <c r="D47" s="148"/>
      <c r="E47" s="148"/>
      <c r="F47" s="148"/>
      <c r="G47" s="148"/>
      <c r="H47" s="148"/>
      <c r="I47" s="148"/>
      <c r="J47" s="148"/>
      <c r="K47" s="148"/>
      <c r="L47" s="148"/>
      <c r="M47" s="148"/>
      <c r="N47" s="148"/>
      <c r="O47" s="148"/>
      <c r="P47" s="148"/>
      <c r="Q47" s="148"/>
      <c r="R47" s="148"/>
      <c r="S47" s="148"/>
      <c r="T47" s="148"/>
      <c r="U47" s="148"/>
      <c r="V47" s="148"/>
      <c r="W47" s="148"/>
      <c r="X47" s="148"/>
      <c r="Y47" s="148"/>
      <c r="Z47" s="148"/>
      <c r="AA47" s="148"/>
      <c r="AB47" s="148"/>
      <c r="AC47" s="148"/>
      <c r="AD47" s="148"/>
      <c r="AE47" s="148"/>
      <c r="AF47" s="148"/>
      <c r="AG47" s="148"/>
      <c r="AH47" s="148"/>
      <c r="AI47" s="148"/>
      <c r="AJ47" s="148"/>
      <c r="AK47" s="148"/>
      <c r="AL47" s="148"/>
      <c r="AM47" s="149"/>
      <c r="AN47" s="149"/>
      <c r="AO47" s="149"/>
      <c r="AP47" s="150"/>
      <c r="AQ47" s="150"/>
      <c r="AR47" s="270"/>
      <c r="AS47" s="316"/>
      <c r="AU47" s="144"/>
      <c r="AW47" s="22"/>
      <c r="AY47" s="25">
        <f>'PELAYANAN 24 JAM 22-23-24-25'!L7</f>
        <v>0</v>
      </c>
      <c r="BC47"/>
      <c r="BD47" s="47">
        <f t="shared" si="0"/>
        <v>0</v>
      </c>
    </row>
    <row r="48" spans="1:56">
      <c r="A48" s="121">
        <v>3</v>
      </c>
      <c r="B48" s="122" t="s">
        <v>208</v>
      </c>
      <c r="C48" s="145">
        <v>2466</v>
      </c>
      <c r="D48" s="147"/>
      <c r="E48" s="147"/>
      <c r="F48" s="145">
        <v>2978</v>
      </c>
      <c r="G48" s="145">
        <v>2113</v>
      </c>
      <c r="H48" s="145">
        <v>2292</v>
      </c>
      <c r="I48" s="145">
        <v>1585</v>
      </c>
      <c r="J48" s="145">
        <v>3124</v>
      </c>
      <c r="K48" s="145">
        <v>2575</v>
      </c>
      <c r="L48" s="145">
        <v>2396</v>
      </c>
      <c r="M48" s="152">
        <v>2201</v>
      </c>
      <c r="N48" s="147"/>
      <c r="O48" s="145">
        <v>355</v>
      </c>
      <c r="P48" s="274">
        <v>2374</v>
      </c>
      <c r="Q48" s="152">
        <v>6</v>
      </c>
      <c r="R48" s="146">
        <v>2152</v>
      </c>
      <c r="S48" s="145">
        <v>2492</v>
      </c>
      <c r="T48" s="147"/>
      <c r="U48" s="147"/>
      <c r="V48" s="152">
        <v>1357</v>
      </c>
      <c r="W48" s="146">
        <v>1328</v>
      </c>
      <c r="X48" s="147"/>
      <c r="Y48" s="146">
        <v>645</v>
      </c>
      <c r="Z48" s="145">
        <v>2209</v>
      </c>
      <c r="AA48" s="145">
        <v>2878</v>
      </c>
      <c r="AB48" s="161">
        <v>2542</v>
      </c>
      <c r="AC48" s="161">
        <v>2034</v>
      </c>
      <c r="AD48" s="152">
        <v>3313</v>
      </c>
      <c r="AE48" s="146">
        <v>997</v>
      </c>
      <c r="AF48" s="147"/>
      <c r="AG48" s="147"/>
      <c r="AH48" s="147"/>
      <c r="AI48" s="147"/>
      <c r="AJ48" s="147"/>
      <c r="AK48" s="147"/>
      <c r="AL48" s="147"/>
      <c r="AM48" s="151"/>
      <c r="AN48" s="151"/>
      <c r="AO48" s="151"/>
      <c r="AP48" s="153">
        <v>1</v>
      </c>
      <c r="AQ48" s="153">
        <v>2</v>
      </c>
      <c r="AR48" s="336"/>
      <c r="AS48" s="317"/>
      <c r="AT48" s="284">
        <f>SUM(C48:AS49)</f>
        <v>46415</v>
      </c>
      <c r="AU48" s="144"/>
      <c r="AV48" s="20" t="str">
        <f>B48</f>
        <v>MEDAN DENAI</v>
      </c>
      <c r="AW48" s="24">
        <f>SUM(C48:AQ48)</f>
        <v>46415</v>
      </c>
      <c r="AY48" s="24">
        <f>'PELAYANAN 24 JAM 22-23-24-25'!L8</f>
        <v>46412</v>
      </c>
      <c r="BA48" s="47">
        <f>AY48-AW48</f>
        <v>-3</v>
      </c>
      <c r="BC48">
        <v>1.4E-2</v>
      </c>
      <c r="BD48" s="47">
        <f t="shared" si="0"/>
        <v>649.81000000000006</v>
      </c>
    </row>
    <row r="49" spans="1:67" ht="3.95" customHeight="1">
      <c r="A49" s="134"/>
      <c r="B49" s="127"/>
      <c r="C49" s="148"/>
      <c r="D49" s="148"/>
      <c r="E49" s="148"/>
      <c r="F49" s="148"/>
      <c r="G49" s="213"/>
      <c r="H49" s="148"/>
      <c r="I49" s="148"/>
      <c r="J49" s="148"/>
      <c r="K49" s="148"/>
      <c r="L49" s="148"/>
      <c r="M49" s="148"/>
      <c r="N49" s="148"/>
      <c r="O49" s="148"/>
      <c r="P49" s="148"/>
      <c r="Q49" s="148"/>
      <c r="R49" s="148"/>
      <c r="S49" s="148"/>
      <c r="T49" s="148"/>
      <c r="U49" s="148"/>
      <c r="V49" s="148"/>
      <c r="W49" s="148"/>
      <c r="X49" s="148"/>
      <c r="Y49" s="148"/>
      <c r="Z49" s="148"/>
      <c r="AA49" s="148"/>
      <c r="AB49" s="148"/>
      <c r="AC49" s="148"/>
      <c r="AD49" s="148"/>
      <c r="AE49" s="148"/>
      <c r="AF49" s="148"/>
      <c r="AG49" s="148"/>
      <c r="AH49" s="148"/>
      <c r="AI49" s="148"/>
      <c r="AJ49" s="148"/>
      <c r="AK49" s="148"/>
      <c r="AL49" s="148"/>
      <c r="AM49" s="149"/>
      <c r="AN49" s="149"/>
      <c r="AO49" s="149"/>
      <c r="AP49" s="150"/>
      <c r="AQ49" s="150"/>
      <c r="AR49" s="270"/>
      <c r="AS49" s="316"/>
      <c r="AU49" s="144"/>
      <c r="AW49" s="22"/>
      <c r="AY49" s="25">
        <f>'PELAYANAN 24 JAM 22-23-24-25'!L9</f>
        <v>0</v>
      </c>
      <c r="BC49"/>
      <c r="BD49" s="47">
        <f t="shared" si="0"/>
        <v>0</v>
      </c>
    </row>
    <row r="50" spans="1:67">
      <c r="A50" s="121">
        <v>4</v>
      </c>
      <c r="B50" s="122" t="s">
        <v>209</v>
      </c>
      <c r="C50" s="147"/>
      <c r="D50" s="147"/>
      <c r="E50" s="147"/>
      <c r="F50" s="147"/>
      <c r="G50" s="147"/>
      <c r="H50" s="152">
        <v>3300</v>
      </c>
      <c r="I50" s="146">
        <v>1299</v>
      </c>
      <c r="J50" s="152">
        <v>1470</v>
      </c>
      <c r="K50" s="152">
        <v>726</v>
      </c>
      <c r="L50" s="146">
        <v>828</v>
      </c>
      <c r="M50" s="146">
        <v>2248</v>
      </c>
      <c r="N50" s="146">
        <v>2653</v>
      </c>
      <c r="O50" s="152">
        <v>416</v>
      </c>
      <c r="P50" s="146">
        <v>4611</v>
      </c>
      <c r="Q50" s="152">
        <v>4288</v>
      </c>
      <c r="R50" s="146">
        <v>5058</v>
      </c>
      <c r="S50" s="152">
        <v>4</v>
      </c>
      <c r="T50" s="147"/>
      <c r="U50" s="147"/>
      <c r="V50" s="152">
        <v>1224</v>
      </c>
      <c r="W50" s="152">
        <v>1442</v>
      </c>
      <c r="X50" s="152">
        <v>363</v>
      </c>
      <c r="Y50" s="145">
        <v>732</v>
      </c>
      <c r="Z50" s="152">
        <v>1776</v>
      </c>
      <c r="AA50" s="152">
        <v>486</v>
      </c>
      <c r="AB50" s="147"/>
      <c r="AC50" s="147"/>
      <c r="AD50" s="147"/>
      <c r="AE50" s="147"/>
      <c r="AF50" s="147"/>
      <c r="AG50" s="147"/>
      <c r="AH50" s="147"/>
      <c r="AI50" s="147"/>
      <c r="AJ50" s="147"/>
      <c r="AK50" s="147"/>
      <c r="AL50" s="147"/>
      <c r="AM50" s="151"/>
      <c r="AN50" s="151"/>
      <c r="AO50" s="151"/>
      <c r="AP50" s="153">
        <v>1</v>
      </c>
      <c r="AQ50" s="147">
        <v>3</v>
      </c>
      <c r="AR50" s="336">
        <v>1</v>
      </c>
      <c r="AS50" s="317"/>
      <c r="AT50" s="283">
        <f>SUM(C50:AS51)</f>
        <v>32929</v>
      </c>
      <c r="AU50" s="144"/>
      <c r="AV50" s="20" t="str">
        <f>B50</f>
        <v>MEDAN LABUHAN</v>
      </c>
      <c r="AW50" s="24">
        <f>SUM(C50:AQ50)</f>
        <v>32928</v>
      </c>
      <c r="AY50" s="24">
        <f>'PELAYANAN 24 JAM 22-23-24-25'!L10</f>
        <v>32438</v>
      </c>
      <c r="BA50" s="47">
        <f>AY50-AW50</f>
        <v>-490</v>
      </c>
      <c r="BC50">
        <v>1.4E-2</v>
      </c>
      <c r="BD50" s="47">
        <f t="shared" si="0"/>
        <v>460.99200000000002</v>
      </c>
    </row>
    <row r="51" spans="1:67" ht="3.95" customHeight="1">
      <c r="A51" s="134"/>
      <c r="B51" s="127"/>
      <c r="C51" s="148"/>
      <c r="D51" s="148"/>
      <c r="E51" s="148"/>
      <c r="F51" s="148"/>
      <c r="G51" s="148"/>
      <c r="H51" s="148"/>
      <c r="I51" s="148"/>
      <c r="J51" s="148"/>
      <c r="K51" s="148"/>
      <c r="L51" s="148"/>
      <c r="M51" s="148"/>
      <c r="N51" s="148"/>
      <c r="O51" s="148"/>
      <c r="P51" s="148"/>
      <c r="Q51" s="148"/>
      <c r="R51" s="148"/>
      <c r="S51" s="148"/>
      <c r="T51" s="148"/>
      <c r="U51" s="148"/>
      <c r="V51" s="148"/>
      <c r="W51" s="148"/>
      <c r="X51" s="148"/>
      <c r="Y51" s="148"/>
      <c r="Z51" s="148"/>
      <c r="AA51" s="148"/>
      <c r="AB51" s="148"/>
      <c r="AC51" s="148"/>
      <c r="AD51" s="148"/>
      <c r="AE51" s="148"/>
      <c r="AF51" s="148"/>
      <c r="AG51" s="148"/>
      <c r="AH51" s="148"/>
      <c r="AI51" s="148"/>
      <c r="AJ51" s="148"/>
      <c r="AK51" s="148"/>
      <c r="AL51" s="148"/>
      <c r="AM51" s="149"/>
      <c r="AN51" s="149"/>
      <c r="AO51" s="149"/>
      <c r="AP51" s="150"/>
      <c r="AQ51" s="150"/>
      <c r="AR51" s="270"/>
      <c r="AS51" s="316"/>
      <c r="AT51" s="178"/>
      <c r="AU51" s="144"/>
      <c r="AW51" s="22"/>
      <c r="AY51" s="25">
        <f>'PELAYANAN 24 JAM 22-23-24-25'!L11</f>
        <v>0</v>
      </c>
      <c r="BC51"/>
      <c r="BD51" s="47">
        <f t="shared" si="0"/>
        <v>0</v>
      </c>
    </row>
    <row r="52" spans="1:67">
      <c r="A52" s="121">
        <v>5</v>
      </c>
      <c r="B52" s="122" t="s">
        <v>210</v>
      </c>
      <c r="C52" s="154">
        <v>1014</v>
      </c>
      <c r="D52" s="152"/>
      <c r="E52" s="152"/>
      <c r="F52" s="152"/>
      <c r="G52" s="152"/>
      <c r="H52" s="152"/>
      <c r="I52" s="146"/>
      <c r="J52" s="146"/>
      <c r="K52" s="152"/>
      <c r="L52" s="147"/>
      <c r="M52" s="147"/>
      <c r="N52" s="147"/>
      <c r="O52" s="147"/>
      <c r="P52" s="147"/>
      <c r="Q52" s="147"/>
      <c r="R52" s="147"/>
      <c r="S52" s="147"/>
      <c r="T52" s="147"/>
      <c r="U52" s="147"/>
      <c r="V52" s="147"/>
      <c r="W52" s="147"/>
      <c r="X52" s="147"/>
      <c r="Y52" s="147"/>
      <c r="Z52" s="147"/>
      <c r="AA52" s="147"/>
      <c r="AB52" s="147"/>
      <c r="AC52" s="147"/>
      <c r="AD52" s="147"/>
      <c r="AE52" s="147"/>
      <c r="AF52" s="147"/>
      <c r="AG52" s="147"/>
      <c r="AH52" s="147"/>
      <c r="AI52" s="147"/>
      <c r="AJ52" s="147"/>
      <c r="AK52" s="147"/>
      <c r="AL52" s="147"/>
      <c r="AM52" s="151"/>
      <c r="AN52" s="151"/>
      <c r="AO52" s="151"/>
      <c r="AP52" s="153"/>
      <c r="AQ52" s="153"/>
      <c r="AR52" s="336"/>
      <c r="AS52" s="317"/>
      <c r="AT52" s="285">
        <f>SUM(C52:M52)</f>
        <v>1014</v>
      </c>
      <c r="AU52" s="144"/>
      <c r="AV52" s="20" t="str">
        <f>B52</f>
        <v>SIBOLANGIT</v>
      </c>
      <c r="AW52" s="24">
        <f>SUM(C52:AQ52)</f>
        <v>1014</v>
      </c>
      <c r="AY52" s="24">
        <f>'PELAYANAN 24 JAM 22-23-24-25'!L12</f>
        <v>1014</v>
      </c>
      <c r="BA52" s="47">
        <f>AY52-AW52</f>
        <v>0</v>
      </c>
      <c r="BC52">
        <v>1.4E-2</v>
      </c>
      <c r="BD52" s="47">
        <f t="shared" si="0"/>
        <v>14.196</v>
      </c>
    </row>
    <row r="53" spans="1:67" ht="3.95" customHeight="1">
      <c r="A53" s="134"/>
      <c r="B53" s="127"/>
      <c r="C53" s="148"/>
      <c r="D53" s="148"/>
      <c r="E53" s="148"/>
      <c r="F53" s="148"/>
      <c r="G53" s="148"/>
      <c r="H53" s="148"/>
      <c r="I53" s="148"/>
      <c r="J53" s="148"/>
      <c r="K53" s="148"/>
      <c r="L53" s="148"/>
      <c r="M53" s="148"/>
      <c r="N53" s="148"/>
      <c r="O53" s="148"/>
      <c r="P53" s="148"/>
      <c r="Q53" s="148"/>
      <c r="R53" s="148"/>
      <c r="S53" s="148"/>
      <c r="T53" s="148"/>
      <c r="U53" s="148"/>
      <c r="V53" s="148"/>
      <c r="W53" s="148"/>
      <c r="X53" s="148"/>
      <c r="Y53" s="148"/>
      <c r="Z53" s="148"/>
      <c r="AA53" s="148"/>
      <c r="AB53" s="148"/>
      <c r="AC53" s="148"/>
      <c r="AD53" s="148"/>
      <c r="AE53" s="148"/>
      <c r="AF53" s="148"/>
      <c r="AG53" s="148"/>
      <c r="AH53" s="148"/>
      <c r="AI53" s="148"/>
      <c r="AJ53" s="148"/>
      <c r="AK53" s="148"/>
      <c r="AL53" s="148"/>
      <c r="AM53" s="149"/>
      <c r="AN53" s="149"/>
      <c r="AO53" s="149"/>
      <c r="AP53" s="150"/>
      <c r="AQ53" s="150"/>
      <c r="AR53" s="270"/>
      <c r="AS53" s="316"/>
      <c r="AU53" s="144"/>
      <c r="AW53" s="22"/>
      <c r="AY53" s="25">
        <f>'PELAYANAN 24 JAM 22-23-24-25'!L13</f>
        <v>0</v>
      </c>
      <c r="BC53"/>
      <c r="BD53" s="47">
        <f t="shared" si="0"/>
        <v>0</v>
      </c>
    </row>
    <row r="54" spans="1:67">
      <c r="A54" s="121">
        <v>6</v>
      </c>
      <c r="B54" s="122" t="s">
        <v>211</v>
      </c>
      <c r="C54" s="145">
        <v>466</v>
      </c>
      <c r="D54" s="145">
        <v>521</v>
      </c>
      <c r="E54" s="145">
        <v>573</v>
      </c>
      <c r="F54" s="145">
        <v>668</v>
      </c>
      <c r="G54" s="145">
        <v>668</v>
      </c>
      <c r="H54" s="145">
        <v>915</v>
      </c>
      <c r="I54" s="145">
        <v>598</v>
      </c>
      <c r="J54" s="145">
        <v>532</v>
      </c>
      <c r="K54" s="145">
        <v>518</v>
      </c>
      <c r="L54" s="145">
        <v>513</v>
      </c>
      <c r="M54" s="145">
        <v>551</v>
      </c>
      <c r="N54" s="145">
        <v>565</v>
      </c>
      <c r="O54" s="145">
        <v>370</v>
      </c>
      <c r="P54" s="147"/>
      <c r="Q54" s="147"/>
      <c r="R54" s="147"/>
      <c r="S54" s="147"/>
      <c r="T54" s="147"/>
      <c r="U54" s="147"/>
      <c r="V54" s="147"/>
      <c r="W54" s="147"/>
      <c r="X54" s="147"/>
      <c r="Y54" s="147"/>
      <c r="Z54" s="147"/>
      <c r="AA54" s="147"/>
      <c r="AB54" s="147"/>
      <c r="AC54" s="147"/>
      <c r="AD54" s="147"/>
      <c r="AE54" s="147"/>
      <c r="AF54" s="147"/>
      <c r="AG54" s="147"/>
      <c r="AH54" s="147"/>
      <c r="AI54" s="147"/>
      <c r="AJ54" s="147"/>
      <c r="AK54" s="147"/>
      <c r="AL54" s="147"/>
      <c r="AM54" s="151"/>
      <c r="AN54" s="151"/>
      <c r="AO54" s="151"/>
      <c r="AP54" s="275">
        <v>5</v>
      </c>
      <c r="AQ54" s="275">
        <v>3</v>
      </c>
      <c r="AR54" s="337"/>
      <c r="AS54" s="318"/>
      <c r="AT54" s="283">
        <f>SUM(C54:AQ54)</f>
        <v>7466</v>
      </c>
      <c r="AU54" s="144"/>
      <c r="AV54" s="20" t="str">
        <f>B54</f>
        <v>BERASTAGI</v>
      </c>
      <c r="AW54" s="24">
        <f>SUM(C54:AQ54)</f>
        <v>7466</v>
      </c>
      <c r="AY54" s="24">
        <f>'PELAYANAN 24 JAM 22-23-24-25'!L14</f>
        <v>7458</v>
      </c>
      <c r="BA54" s="47">
        <f>AY54-AW54</f>
        <v>-8</v>
      </c>
      <c r="BC54">
        <v>1.4E-2</v>
      </c>
      <c r="BD54" s="47">
        <f t="shared" si="0"/>
        <v>104.524</v>
      </c>
    </row>
    <row r="55" spans="1:67" ht="3.95" customHeight="1">
      <c r="A55" s="134"/>
      <c r="B55" s="127"/>
      <c r="C55" s="148"/>
      <c r="D55" s="148"/>
      <c r="E55" s="148"/>
      <c r="F55" s="148"/>
      <c r="G55" s="148"/>
      <c r="H55" s="148"/>
      <c r="I55" s="148"/>
      <c r="J55" s="148"/>
      <c r="K55" s="148"/>
      <c r="L55" s="148"/>
      <c r="M55" s="148"/>
      <c r="N55" s="148"/>
      <c r="O55" s="148"/>
      <c r="P55" s="148"/>
      <c r="Q55" s="148"/>
      <c r="R55" s="148"/>
      <c r="S55" s="148"/>
      <c r="T55" s="148"/>
      <c r="U55" s="148"/>
      <c r="V55" s="148"/>
      <c r="W55" s="148"/>
      <c r="X55" s="148"/>
      <c r="Y55" s="148"/>
      <c r="Z55" s="148"/>
      <c r="AA55" s="148"/>
      <c r="AB55" s="148"/>
      <c r="AC55" s="148"/>
      <c r="AD55" s="148"/>
      <c r="AE55" s="148"/>
      <c r="AF55" s="148"/>
      <c r="AG55" s="148"/>
      <c r="AH55" s="148"/>
      <c r="AI55" s="148"/>
      <c r="AJ55" s="148"/>
      <c r="AK55" s="148"/>
      <c r="AL55" s="148"/>
      <c r="AM55" s="149"/>
      <c r="AN55" s="149"/>
      <c r="AO55" s="149"/>
      <c r="AP55" s="150"/>
      <c r="AQ55" s="150"/>
      <c r="AR55" s="270"/>
      <c r="AS55" s="316"/>
      <c r="AU55" s="144"/>
      <c r="AW55" s="22"/>
      <c r="AY55" s="25">
        <f>'PELAYANAN 24 JAM 22-23-24-25'!L15</f>
        <v>0</v>
      </c>
      <c r="BC55"/>
      <c r="BD55" s="47">
        <f t="shared" si="0"/>
        <v>0</v>
      </c>
    </row>
    <row r="56" spans="1:67">
      <c r="A56" s="121">
        <v>7</v>
      </c>
      <c r="B56" s="122" t="s">
        <v>212</v>
      </c>
      <c r="C56" s="146">
        <v>3233</v>
      </c>
      <c r="D56" s="146">
        <v>1731</v>
      </c>
      <c r="E56" s="146">
        <v>3264</v>
      </c>
      <c r="F56" s="147"/>
      <c r="G56" s="146">
        <v>4060</v>
      </c>
      <c r="H56" s="147"/>
      <c r="I56" s="146">
        <v>2910</v>
      </c>
      <c r="J56" s="146">
        <v>2352</v>
      </c>
      <c r="K56" s="146">
        <v>826</v>
      </c>
      <c r="L56" s="146">
        <v>833</v>
      </c>
      <c r="M56" s="146">
        <v>627</v>
      </c>
      <c r="N56" s="146">
        <v>1991</v>
      </c>
      <c r="O56" s="147"/>
      <c r="P56" s="147"/>
      <c r="Q56" s="147"/>
      <c r="R56" s="146">
        <v>736</v>
      </c>
      <c r="S56" s="146">
        <v>2002</v>
      </c>
      <c r="T56" s="146">
        <v>2235</v>
      </c>
      <c r="U56" s="146">
        <v>3283</v>
      </c>
      <c r="V56" s="145">
        <v>4855</v>
      </c>
      <c r="W56" s="146">
        <v>1512</v>
      </c>
      <c r="X56" s="147"/>
      <c r="Y56" s="147"/>
      <c r="Z56" s="147"/>
      <c r="AA56" s="147"/>
      <c r="AB56" s="147"/>
      <c r="AC56" s="147"/>
      <c r="AD56" s="147"/>
      <c r="AE56" s="147"/>
      <c r="AF56" s="147"/>
      <c r="AG56" s="147"/>
      <c r="AH56" s="147"/>
      <c r="AI56" s="147"/>
      <c r="AJ56" s="147"/>
      <c r="AK56" s="147"/>
      <c r="AL56" s="147"/>
      <c r="AM56" s="151"/>
      <c r="AN56" s="151"/>
      <c r="AO56" s="151"/>
      <c r="AP56" s="146">
        <v>437</v>
      </c>
      <c r="AQ56" s="146">
        <v>1</v>
      </c>
      <c r="AR56" s="338"/>
      <c r="AS56" s="319"/>
      <c r="AT56" s="283">
        <f>SUM(C56:AQ57)</f>
        <v>36888</v>
      </c>
      <c r="AU56" s="144"/>
      <c r="AV56" s="20" t="str">
        <f>B56</f>
        <v>SUNGGAL</v>
      </c>
      <c r="AW56" s="24">
        <f>SUM(C56:AQ56)</f>
        <v>36888</v>
      </c>
      <c r="AY56" s="24">
        <f>'PELAYANAN 24 JAM 22-23-24-25'!L16</f>
        <v>36450</v>
      </c>
      <c r="BA56" s="47">
        <f>AY56-AW56</f>
        <v>-438</v>
      </c>
      <c r="BC56">
        <v>1.4E-2</v>
      </c>
      <c r="BD56" s="47">
        <f t="shared" si="0"/>
        <v>516.43200000000002</v>
      </c>
      <c r="BF56" s="144"/>
      <c r="BH56" s="24">
        <v>32000</v>
      </c>
      <c r="BI56" s="20">
        <f>BC56</f>
        <v>1.4E-2</v>
      </c>
      <c r="BJ56" s="24">
        <f>BI56*BH56</f>
        <v>448</v>
      </c>
      <c r="BK56" s="20">
        <v>1.27</v>
      </c>
      <c r="BL56" s="24">
        <f>BK56*BJ56</f>
        <v>568.96</v>
      </c>
      <c r="BN56"/>
      <c r="BO56" s="47"/>
    </row>
    <row r="57" spans="1:67" ht="3.95" customHeight="1">
      <c r="A57" s="134"/>
      <c r="B57" s="127"/>
      <c r="C57" s="148"/>
      <c r="D57" s="148"/>
      <c r="E57" s="148"/>
      <c r="F57" s="148"/>
      <c r="G57" s="148"/>
      <c r="H57" s="148"/>
      <c r="I57" s="148"/>
      <c r="J57" s="148"/>
      <c r="K57" s="148"/>
      <c r="L57" s="148"/>
      <c r="M57" s="148"/>
      <c r="N57" s="148"/>
      <c r="O57" s="148"/>
      <c r="P57" s="148"/>
      <c r="Q57" s="148"/>
      <c r="R57" s="148"/>
      <c r="S57" s="148"/>
      <c r="T57" s="148"/>
      <c r="U57" s="148"/>
      <c r="V57" s="148"/>
      <c r="W57" s="148"/>
      <c r="X57" s="148"/>
      <c r="Y57" s="148"/>
      <c r="Z57" s="148"/>
      <c r="AA57" s="148"/>
      <c r="AB57" s="148"/>
      <c r="AC57" s="148"/>
      <c r="AD57" s="148"/>
      <c r="AE57" s="148"/>
      <c r="AF57" s="148"/>
      <c r="AG57" s="148"/>
      <c r="AH57" s="148"/>
      <c r="AI57" s="148"/>
      <c r="AJ57" s="148"/>
      <c r="AK57" s="148"/>
      <c r="AL57" s="148"/>
      <c r="AM57" s="149"/>
      <c r="AN57" s="149"/>
      <c r="AO57" s="149"/>
      <c r="AP57" s="150"/>
      <c r="AQ57" s="150"/>
      <c r="AR57" s="270"/>
      <c r="AS57" s="316"/>
      <c r="AU57" s="144"/>
      <c r="AW57" s="22"/>
      <c r="AY57" s="25">
        <f>'PELAYANAN 24 JAM 22-23-24-25'!L17</f>
        <v>0</v>
      </c>
      <c r="BC57"/>
      <c r="BD57" s="47">
        <f t="shared" si="0"/>
        <v>0</v>
      </c>
    </row>
    <row r="58" spans="1:67">
      <c r="A58" s="121">
        <v>8</v>
      </c>
      <c r="B58" s="122" t="s">
        <v>213</v>
      </c>
      <c r="C58" s="146">
        <v>2866</v>
      </c>
      <c r="D58" s="152">
        <v>1702</v>
      </c>
      <c r="E58" s="145">
        <v>1409</v>
      </c>
      <c r="F58" s="146">
        <v>1846</v>
      </c>
      <c r="G58" s="145">
        <v>1728</v>
      </c>
      <c r="H58" s="146">
        <v>4170</v>
      </c>
      <c r="I58" s="145">
        <v>1502</v>
      </c>
      <c r="J58" s="146">
        <v>2283</v>
      </c>
      <c r="K58" s="152">
        <v>2997</v>
      </c>
      <c r="L58" s="152">
        <v>1785</v>
      </c>
      <c r="M58" s="146">
        <v>2944</v>
      </c>
      <c r="N58" s="146">
        <v>563</v>
      </c>
      <c r="O58" s="147"/>
      <c r="P58" s="146">
        <v>4119</v>
      </c>
      <c r="Q58" s="146">
        <v>2141</v>
      </c>
      <c r="R58" s="152">
        <v>2253</v>
      </c>
      <c r="S58" s="146">
        <v>3032</v>
      </c>
      <c r="T58" s="146">
        <v>2054</v>
      </c>
      <c r="U58" s="146">
        <v>1781</v>
      </c>
      <c r="V58" s="146">
        <v>1552</v>
      </c>
      <c r="W58" s="146">
        <v>3092</v>
      </c>
      <c r="X58" s="146">
        <v>2026</v>
      </c>
      <c r="Y58" s="145">
        <v>2322</v>
      </c>
      <c r="Z58" s="152">
        <v>513</v>
      </c>
      <c r="AA58" s="152">
        <v>2659</v>
      </c>
      <c r="AB58" s="152">
        <v>531</v>
      </c>
      <c r="AC58" s="147" t="s">
        <v>195</v>
      </c>
      <c r="AD58" s="147"/>
      <c r="AE58" s="147"/>
      <c r="AF58" s="147"/>
      <c r="AG58" s="147"/>
      <c r="AH58" s="147"/>
      <c r="AI58" s="147"/>
      <c r="AJ58" s="147"/>
      <c r="AK58" s="147"/>
      <c r="AL58" s="147"/>
      <c r="AM58" s="151"/>
      <c r="AN58" s="151"/>
      <c r="AO58" s="151"/>
      <c r="AP58" s="152">
        <v>179</v>
      </c>
      <c r="AQ58" s="146">
        <v>290</v>
      </c>
      <c r="AR58" s="338"/>
      <c r="AS58" s="319"/>
      <c r="AT58" s="284">
        <f>SUM(C58:AQ58)</f>
        <v>54339</v>
      </c>
      <c r="AU58" s="144"/>
      <c r="AV58" s="20" t="str">
        <f>B58</f>
        <v>PADANG BULAN</v>
      </c>
      <c r="AW58" s="24">
        <f>SUM(C58:AQ58)</f>
        <v>54339</v>
      </c>
      <c r="AY58" s="24">
        <f>'PELAYANAN 24 JAM 22-23-24-25'!L18</f>
        <v>53870</v>
      </c>
      <c r="BA58" s="47">
        <f>AY58-AW58</f>
        <v>-469</v>
      </c>
      <c r="BC58">
        <v>1.4E-2</v>
      </c>
      <c r="BD58" s="47">
        <f t="shared" si="0"/>
        <v>760.74599999999998</v>
      </c>
      <c r="BH58" s="20">
        <v>500</v>
      </c>
      <c r="BI58" s="20">
        <v>1.7</v>
      </c>
      <c r="BJ58" s="20">
        <f>BI58*BH58</f>
        <v>850</v>
      </c>
      <c r="BK58" s="179" t="s">
        <v>271</v>
      </c>
      <c r="BL58" s="180">
        <f>((0.85/(2*0.785))^0.5)*1000</f>
        <v>735.79975121316147</v>
      </c>
    </row>
    <row r="59" spans="1:67" ht="3.95" customHeight="1">
      <c r="A59" s="134"/>
      <c r="B59" s="127"/>
      <c r="C59" s="148"/>
      <c r="D59" s="148"/>
      <c r="E59" s="148"/>
      <c r="F59" s="148"/>
      <c r="G59" s="148"/>
      <c r="H59" s="148"/>
      <c r="I59" s="148"/>
      <c r="J59" s="148"/>
      <c r="K59" s="148"/>
      <c r="L59" s="149"/>
      <c r="M59" s="269"/>
      <c r="N59" s="270"/>
      <c r="O59" s="148"/>
      <c r="P59" s="148"/>
      <c r="Q59" s="148"/>
      <c r="R59" s="148"/>
      <c r="S59" s="148"/>
      <c r="T59" s="148"/>
      <c r="U59" s="148"/>
      <c r="V59" s="148"/>
      <c r="W59" s="148"/>
      <c r="X59" s="148"/>
      <c r="Y59" s="148"/>
      <c r="Z59" s="148"/>
      <c r="AA59" s="148"/>
      <c r="AB59" s="148"/>
      <c r="AC59" s="148"/>
      <c r="AD59" s="148"/>
      <c r="AE59" s="148"/>
      <c r="AF59" s="148"/>
      <c r="AG59" s="148"/>
      <c r="AH59" s="148"/>
      <c r="AI59" s="148"/>
      <c r="AJ59" s="148"/>
      <c r="AK59" s="148"/>
      <c r="AL59" s="148"/>
      <c r="AM59" s="149"/>
      <c r="AN59" s="149"/>
      <c r="AO59" s="149"/>
      <c r="AP59" s="150"/>
      <c r="AQ59" s="150"/>
      <c r="AR59" s="270"/>
      <c r="AS59" s="316"/>
      <c r="AU59" s="144"/>
      <c r="AW59" s="22"/>
      <c r="AY59" s="25">
        <f>'PELAYANAN 24 JAM 22-23-24-25'!L19</f>
        <v>0</v>
      </c>
      <c r="BC59"/>
      <c r="BD59" s="47">
        <f t="shared" si="0"/>
        <v>0</v>
      </c>
    </row>
    <row r="60" spans="1:67">
      <c r="A60" s="121">
        <v>9</v>
      </c>
      <c r="B60" s="122" t="s">
        <v>214</v>
      </c>
      <c r="C60" s="215">
        <v>1886</v>
      </c>
      <c r="D60" s="152">
        <v>3844</v>
      </c>
      <c r="E60" s="271">
        <v>2295</v>
      </c>
      <c r="F60" s="152">
        <v>676</v>
      </c>
      <c r="G60" s="152">
        <v>2090</v>
      </c>
      <c r="H60" s="152">
        <v>1384</v>
      </c>
      <c r="I60" s="152">
        <v>1575</v>
      </c>
      <c r="J60" s="152">
        <v>2645</v>
      </c>
      <c r="K60" s="152">
        <v>834</v>
      </c>
      <c r="L60" s="152">
        <v>5512</v>
      </c>
      <c r="M60" s="152">
        <v>4840</v>
      </c>
      <c r="N60" s="147"/>
      <c r="O60" s="147"/>
      <c r="P60" s="147"/>
      <c r="Q60" s="147"/>
      <c r="R60" s="147"/>
      <c r="S60" s="147"/>
      <c r="T60" s="147"/>
      <c r="U60" s="147"/>
      <c r="V60" s="147"/>
      <c r="W60" s="147"/>
      <c r="X60" s="147"/>
      <c r="Y60" s="147"/>
      <c r="Z60" s="147"/>
      <c r="AA60" s="147"/>
      <c r="AB60" s="147"/>
      <c r="AC60" s="147"/>
      <c r="AD60" s="147"/>
      <c r="AE60" s="147"/>
      <c r="AF60" s="147"/>
      <c r="AG60" s="147"/>
      <c r="AH60" s="147"/>
      <c r="AI60" s="147"/>
      <c r="AJ60" s="147"/>
      <c r="AK60" s="147"/>
      <c r="AL60" s="147"/>
      <c r="AM60" s="151"/>
      <c r="AN60" s="151"/>
      <c r="AO60" s="151"/>
      <c r="AP60" s="152">
        <v>351</v>
      </c>
      <c r="AQ60" s="152">
        <v>2</v>
      </c>
      <c r="AR60" s="339"/>
      <c r="AS60" s="320"/>
      <c r="AT60" s="283">
        <f>SUM(C60:AQ60)</f>
        <v>27934</v>
      </c>
      <c r="AU60" s="144"/>
      <c r="AV60" s="20" t="str">
        <f>B60</f>
        <v>DELI TUA</v>
      </c>
      <c r="AW60" s="24">
        <f>SUM(C60:AQ60)</f>
        <v>27934</v>
      </c>
      <c r="AY60" s="24">
        <f>'PELAYANAN 24 JAM 22-23-24-25'!L20</f>
        <v>27581</v>
      </c>
      <c r="BA60" s="47">
        <f>AY60-AW60</f>
        <v>-353</v>
      </c>
      <c r="BC60">
        <v>1.4E-2</v>
      </c>
      <c r="BD60" s="47">
        <f t="shared" si="0"/>
        <v>391.07600000000002</v>
      </c>
    </row>
    <row r="61" spans="1:67" ht="3.95" customHeight="1">
      <c r="A61" s="134"/>
      <c r="B61" s="127"/>
      <c r="C61" s="148"/>
      <c r="D61" s="148"/>
      <c r="E61" s="148"/>
      <c r="F61" s="148"/>
      <c r="G61" s="148"/>
      <c r="H61" s="148"/>
      <c r="I61" s="148"/>
      <c r="J61" s="148"/>
      <c r="K61" s="148"/>
      <c r="L61" s="148"/>
      <c r="M61" s="148"/>
      <c r="N61" s="148"/>
      <c r="O61" s="148"/>
      <c r="P61" s="148"/>
      <c r="Q61" s="148"/>
      <c r="R61" s="148"/>
      <c r="S61" s="148"/>
      <c r="T61" s="148"/>
      <c r="U61" s="148"/>
      <c r="V61" s="148"/>
      <c r="W61" s="148"/>
      <c r="X61" s="148"/>
      <c r="Y61" s="148"/>
      <c r="Z61" s="148"/>
      <c r="AA61" s="148"/>
      <c r="AB61" s="148"/>
      <c r="AC61" s="148"/>
      <c r="AD61" s="148"/>
      <c r="AE61" s="148"/>
      <c r="AF61" s="148"/>
      <c r="AG61" s="148"/>
      <c r="AH61" s="148"/>
      <c r="AI61" s="148"/>
      <c r="AJ61" s="148"/>
      <c r="AK61" s="148"/>
      <c r="AL61" s="148"/>
      <c r="AM61" s="149"/>
      <c r="AN61" s="149"/>
      <c r="AO61" s="149"/>
      <c r="AP61" s="150"/>
      <c r="AQ61" s="150"/>
      <c r="AR61" s="270"/>
      <c r="AS61" s="316"/>
      <c r="AU61" s="144"/>
      <c r="AW61" s="22"/>
      <c r="AY61" s="25">
        <f>'PELAYANAN 24 JAM 22-23-24-25'!L21</f>
        <v>0</v>
      </c>
      <c r="BC61"/>
      <c r="BD61" s="47">
        <f t="shared" si="0"/>
        <v>0</v>
      </c>
    </row>
    <row r="62" spans="1:67">
      <c r="A62" s="121">
        <v>10</v>
      </c>
      <c r="B62" s="122" t="s">
        <v>215</v>
      </c>
      <c r="C62" s="147"/>
      <c r="D62" s="147"/>
      <c r="E62" s="147"/>
      <c r="F62" s="147"/>
      <c r="G62" s="146">
        <v>2454</v>
      </c>
      <c r="H62" s="146">
        <v>3634</v>
      </c>
      <c r="I62" s="146">
        <v>5850</v>
      </c>
      <c r="J62" s="146">
        <v>3124</v>
      </c>
      <c r="K62" s="146">
        <v>3757</v>
      </c>
      <c r="L62" s="146">
        <v>3050</v>
      </c>
      <c r="M62" s="146">
        <v>2816</v>
      </c>
      <c r="N62" s="146">
        <v>2025</v>
      </c>
      <c r="O62" s="146">
        <v>1871</v>
      </c>
      <c r="P62" s="146">
        <v>2363</v>
      </c>
      <c r="Q62" s="147">
        <v>23</v>
      </c>
      <c r="R62" s="146">
        <v>3247</v>
      </c>
      <c r="S62" s="146">
        <v>894</v>
      </c>
      <c r="T62" s="147"/>
      <c r="U62" s="147"/>
      <c r="V62" s="147"/>
      <c r="W62" s="147"/>
      <c r="X62" s="146">
        <v>3862</v>
      </c>
      <c r="Y62" s="146">
        <v>2624</v>
      </c>
      <c r="Z62" s="147"/>
      <c r="AA62" s="147"/>
      <c r="AB62" s="147"/>
      <c r="AC62" s="147"/>
      <c r="AD62" s="147"/>
      <c r="AE62" s="147"/>
      <c r="AF62" s="147"/>
      <c r="AG62" s="147"/>
      <c r="AH62" s="147"/>
      <c r="AI62" s="147"/>
      <c r="AJ62" s="147"/>
      <c r="AK62" s="147"/>
      <c r="AL62" s="147"/>
      <c r="AM62" s="151"/>
      <c r="AN62" s="151"/>
      <c r="AO62" s="151"/>
      <c r="AP62" s="153"/>
      <c r="AQ62" s="153">
        <v>3</v>
      </c>
      <c r="AR62" s="336">
        <v>1</v>
      </c>
      <c r="AS62" s="317"/>
      <c r="AT62" s="283">
        <f>SUM(C62:AS63)</f>
        <v>41598</v>
      </c>
      <c r="AU62" s="144"/>
      <c r="AV62" s="20" t="str">
        <f>B62</f>
        <v>TUASAN</v>
      </c>
      <c r="AW62" s="24">
        <f>SUM(C62:AQ62)</f>
        <v>41597</v>
      </c>
      <c r="AY62" s="24">
        <f>'PELAYANAN 24 JAM 22-23-24-25'!L22</f>
        <v>41571</v>
      </c>
      <c r="BA62" s="47">
        <f>AY62-AW62</f>
        <v>-26</v>
      </c>
      <c r="BC62">
        <v>1.4E-2</v>
      </c>
      <c r="BD62" s="47">
        <f t="shared" si="0"/>
        <v>582.35800000000006</v>
      </c>
    </row>
    <row r="63" spans="1:67" ht="3.95" customHeight="1">
      <c r="A63" s="134"/>
      <c r="B63" s="127"/>
      <c r="C63" s="148"/>
      <c r="D63" s="148"/>
      <c r="E63" s="148"/>
      <c r="F63" s="148"/>
      <c r="G63" s="148"/>
      <c r="H63" s="148"/>
      <c r="I63" s="148"/>
      <c r="J63" s="148"/>
      <c r="K63" s="148"/>
      <c r="L63" s="148"/>
      <c r="M63" s="148"/>
      <c r="N63" s="148"/>
      <c r="O63" s="148"/>
      <c r="P63" s="148"/>
      <c r="Q63" s="148"/>
      <c r="R63" s="148"/>
      <c r="S63" s="148"/>
      <c r="T63" s="148"/>
      <c r="U63" s="148"/>
      <c r="V63" s="148"/>
      <c r="W63" s="148"/>
      <c r="X63" s="148"/>
      <c r="Y63" s="148"/>
      <c r="Z63" s="148"/>
      <c r="AA63" s="148"/>
      <c r="AB63" s="148"/>
      <c r="AC63" s="148"/>
      <c r="AD63" s="148"/>
      <c r="AE63" s="148"/>
      <c r="AF63" s="148"/>
      <c r="AG63" s="148"/>
      <c r="AH63" s="148"/>
      <c r="AI63" s="148"/>
      <c r="AJ63" s="148"/>
      <c r="AK63" s="148"/>
      <c r="AL63" s="148"/>
      <c r="AM63" s="149"/>
      <c r="AN63" s="149"/>
      <c r="AO63" s="149"/>
      <c r="AP63" s="150"/>
      <c r="AQ63" s="150"/>
      <c r="AR63" s="270"/>
      <c r="AS63" s="316"/>
      <c r="AU63" s="144"/>
      <c r="AW63" s="22"/>
      <c r="AY63" s="25">
        <f>'PELAYANAN 24 JAM 22-23-24-25'!L23</f>
        <v>0</v>
      </c>
      <c r="BC63"/>
      <c r="BD63" s="47">
        <f t="shared" si="0"/>
        <v>0</v>
      </c>
    </row>
    <row r="64" spans="1:67">
      <c r="A64" s="121">
        <v>11</v>
      </c>
      <c r="B64" s="122" t="s">
        <v>216</v>
      </c>
      <c r="C64" s="147"/>
      <c r="D64" s="145">
        <v>2891</v>
      </c>
      <c r="E64" s="145">
        <v>2323</v>
      </c>
      <c r="F64" s="147"/>
      <c r="G64" s="218"/>
      <c r="H64" s="147"/>
      <c r="I64" s="147"/>
      <c r="J64" s="145">
        <v>1465</v>
      </c>
      <c r="K64" s="145">
        <v>1387</v>
      </c>
      <c r="L64" s="145">
        <v>2271</v>
      </c>
      <c r="M64" s="147"/>
      <c r="N64" s="145">
        <v>1965</v>
      </c>
      <c r="O64" s="147"/>
      <c r="P64" s="147"/>
      <c r="Q64" s="147">
        <v>5</v>
      </c>
      <c r="R64" s="145">
        <v>2934</v>
      </c>
      <c r="S64" s="146">
        <v>1067</v>
      </c>
      <c r="T64" s="145">
        <v>3104</v>
      </c>
      <c r="U64" s="145">
        <v>2494</v>
      </c>
      <c r="V64" s="145">
        <v>1980</v>
      </c>
      <c r="W64" s="145">
        <v>1813</v>
      </c>
      <c r="X64" s="147"/>
      <c r="Y64" s="147"/>
      <c r="Z64" s="145">
        <v>1482</v>
      </c>
      <c r="AA64" s="147"/>
      <c r="AB64" s="147"/>
      <c r="AC64" s="147"/>
      <c r="AD64" s="147"/>
      <c r="AE64" s="147"/>
      <c r="AF64" s="147"/>
      <c r="AG64" s="147"/>
      <c r="AH64" s="147"/>
      <c r="AI64" s="147"/>
      <c r="AJ64" s="147"/>
      <c r="AK64" s="147"/>
      <c r="AL64" s="147"/>
      <c r="AM64" s="151"/>
      <c r="AN64" s="151"/>
      <c r="AO64" s="151">
        <v>4</v>
      </c>
      <c r="AP64" s="153">
        <v>1</v>
      </c>
      <c r="AQ64" s="153">
        <v>6</v>
      </c>
      <c r="AR64" s="336"/>
      <c r="AS64" s="317"/>
      <c r="AT64" s="285">
        <f>SUM(C64:AQ64)</f>
        <v>27192</v>
      </c>
      <c r="AU64" s="144"/>
      <c r="AV64" s="20" t="str">
        <f>B64</f>
        <v>H. M. YAMIN</v>
      </c>
      <c r="AW64" s="24">
        <f>SUM(C64:AQ64)</f>
        <v>27192</v>
      </c>
      <c r="AY64" s="24">
        <f>'PELAYANAN 24 JAM 22-23-24-25'!L24</f>
        <v>27176</v>
      </c>
      <c r="BA64" s="47">
        <f>AY64-AW64</f>
        <v>-16</v>
      </c>
      <c r="BC64">
        <v>1.4E-2</v>
      </c>
      <c r="BD64" s="47">
        <f t="shared" si="0"/>
        <v>380.68799999999999</v>
      </c>
    </row>
    <row r="65" spans="1:56" ht="3.95" customHeight="1">
      <c r="A65" s="134"/>
      <c r="B65" s="127"/>
      <c r="C65" s="148"/>
      <c r="D65" s="148"/>
      <c r="E65" s="148"/>
      <c r="F65" s="148"/>
      <c r="G65" s="148"/>
      <c r="H65" s="148"/>
      <c r="I65" s="148"/>
      <c r="J65" s="148"/>
      <c r="K65" s="148"/>
      <c r="L65" s="148"/>
      <c r="M65" s="148"/>
      <c r="N65" s="148"/>
      <c r="O65" s="148"/>
      <c r="P65" s="148"/>
      <c r="Q65" s="148"/>
      <c r="R65" s="148"/>
      <c r="S65" s="148"/>
      <c r="T65" s="148"/>
      <c r="U65" s="148"/>
      <c r="V65" s="148"/>
      <c r="W65" s="148"/>
      <c r="X65" s="148"/>
      <c r="Y65" s="148"/>
      <c r="Z65" s="148"/>
      <c r="AA65" s="148"/>
      <c r="AB65" s="148"/>
      <c r="AC65" s="148"/>
      <c r="AD65" s="148"/>
      <c r="AE65" s="148"/>
      <c r="AF65" s="148"/>
      <c r="AG65" s="148"/>
      <c r="AH65" s="148"/>
      <c r="AI65" s="148"/>
      <c r="AJ65" s="148"/>
      <c r="AK65" s="148"/>
      <c r="AL65" s="148"/>
      <c r="AM65" s="149"/>
      <c r="AN65" s="149"/>
      <c r="AO65" s="149"/>
      <c r="AP65" s="150"/>
      <c r="AQ65" s="150"/>
      <c r="AR65" s="270"/>
      <c r="AS65" s="316"/>
      <c r="AU65" s="144"/>
      <c r="AW65" s="22"/>
      <c r="AY65" s="25">
        <f>'PELAYANAN 24 JAM 22-23-24-25'!L25</f>
        <v>0</v>
      </c>
      <c r="BC65"/>
      <c r="BD65" s="47">
        <f t="shared" si="0"/>
        <v>0</v>
      </c>
    </row>
    <row r="66" spans="1:56">
      <c r="A66" s="121">
        <v>12</v>
      </c>
      <c r="B66" s="122" t="s">
        <v>217</v>
      </c>
      <c r="C66" s="146">
        <v>1054</v>
      </c>
      <c r="D66" s="145">
        <v>1155</v>
      </c>
      <c r="E66" s="146">
        <v>2709</v>
      </c>
      <c r="F66" s="146">
        <v>2187</v>
      </c>
      <c r="G66" s="145">
        <v>2453</v>
      </c>
      <c r="H66" s="146">
        <v>1432</v>
      </c>
      <c r="I66" s="146">
        <v>2661</v>
      </c>
      <c r="J66" s="146">
        <v>1439</v>
      </c>
      <c r="K66" s="146">
        <v>2232</v>
      </c>
      <c r="L66" s="147"/>
      <c r="M66" s="146">
        <v>2912</v>
      </c>
      <c r="N66" s="145">
        <v>3130</v>
      </c>
      <c r="O66" s="145">
        <v>2595</v>
      </c>
      <c r="P66" s="146">
        <v>1938</v>
      </c>
      <c r="Q66" s="146">
        <v>1295</v>
      </c>
      <c r="R66" s="147"/>
      <c r="S66" s="145">
        <v>302</v>
      </c>
      <c r="T66" s="145">
        <v>369</v>
      </c>
      <c r="U66" s="147"/>
      <c r="V66" s="146">
        <v>1923</v>
      </c>
      <c r="W66" s="145">
        <v>127</v>
      </c>
      <c r="X66" s="146">
        <v>2758</v>
      </c>
      <c r="Y66" s="147"/>
      <c r="Z66" s="145">
        <v>1218</v>
      </c>
      <c r="AA66" s="146">
        <v>2509</v>
      </c>
      <c r="AB66" s="147"/>
      <c r="AC66" s="147"/>
      <c r="AD66" s="147"/>
      <c r="AE66" s="147"/>
      <c r="AF66" s="147"/>
      <c r="AG66" s="147"/>
      <c r="AH66" s="147"/>
      <c r="AI66" s="147"/>
      <c r="AJ66" s="147"/>
      <c r="AK66" s="147"/>
      <c r="AL66" s="147"/>
      <c r="AM66" s="151"/>
      <c r="AN66" s="151"/>
      <c r="AO66" s="151"/>
      <c r="AP66" s="153">
        <v>198</v>
      </c>
      <c r="AQ66" s="153">
        <v>1</v>
      </c>
      <c r="AR66" s="336"/>
      <c r="AS66" s="317"/>
      <c r="AT66" s="283">
        <f>SUM(C66:AQ66)</f>
        <v>38597</v>
      </c>
      <c r="AU66" s="144"/>
      <c r="AV66" s="20" t="str">
        <f>B66</f>
        <v>DISKI</v>
      </c>
      <c r="AW66" s="24">
        <f>SUM(C66:AQ66)</f>
        <v>38597</v>
      </c>
      <c r="AY66" s="24">
        <f>'PELAYANAN 24 JAM 22-23-24-25'!L26</f>
        <v>32179</v>
      </c>
      <c r="BA66" s="47">
        <f>AY66-AW66</f>
        <v>-6418</v>
      </c>
      <c r="BC66">
        <v>1.4E-2</v>
      </c>
      <c r="BD66" s="47">
        <f t="shared" si="0"/>
        <v>540.35800000000006</v>
      </c>
    </row>
    <row r="67" spans="1:56" ht="3.95" customHeight="1">
      <c r="A67" s="134"/>
      <c r="B67" s="127"/>
      <c r="C67" s="148"/>
      <c r="D67" s="148"/>
      <c r="E67" s="213"/>
      <c r="F67" s="148"/>
      <c r="G67" s="148"/>
      <c r="H67" s="148"/>
      <c r="I67" s="148"/>
      <c r="J67" s="148"/>
      <c r="K67" s="148"/>
      <c r="L67" s="148"/>
      <c r="M67" s="148"/>
      <c r="N67" s="148"/>
      <c r="O67" s="148"/>
      <c r="P67" s="148"/>
      <c r="Q67" s="148"/>
      <c r="R67" s="148"/>
      <c r="S67" s="148"/>
      <c r="T67" s="148"/>
      <c r="U67" s="148"/>
      <c r="V67" s="148"/>
      <c r="W67" s="148"/>
      <c r="X67" s="148"/>
      <c r="Y67" s="148"/>
      <c r="Z67" s="148"/>
      <c r="AA67" s="148"/>
      <c r="AB67" s="148"/>
      <c r="AC67" s="148"/>
      <c r="AD67" s="148"/>
      <c r="AE67" s="148"/>
      <c r="AF67" s="148"/>
      <c r="AG67" s="148"/>
      <c r="AH67" s="148"/>
      <c r="AI67" s="148"/>
      <c r="AJ67" s="148"/>
      <c r="AK67" s="148"/>
      <c r="AL67" s="148"/>
      <c r="AM67" s="149"/>
      <c r="AN67" s="149"/>
      <c r="AO67" s="149"/>
      <c r="AP67" s="150"/>
      <c r="AQ67" s="150"/>
      <c r="AR67" s="270"/>
      <c r="AS67" s="316"/>
      <c r="AU67" s="144"/>
      <c r="AW67" s="22"/>
      <c r="AY67" s="25">
        <f>'PELAYANAN 24 JAM 22-23-24-25'!L27</f>
        <v>0</v>
      </c>
      <c r="BA67" s="47">
        <f>AY67-AW67</f>
        <v>0</v>
      </c>
      <c r="BC67"/>
      <c r="BD67" s="47">
        <f t="shared" si="0"/>
        <v>0</v>
      </c>
    </row>
    <row r="68" spans="1:56">
      <c r="A68" s="121">
        <v>13</v>
      </c>
      <c r="B68" s="122" t="s">
        <v>218</v>
      </c>
      <c r="C68" s="152">
        <v>1652</v>
      </c>
      <c r="D68" s="152">
        <v>1649</v>
      </c>
      <c r="E68" s="146">
        <v>1604</v>
      </c>
      <c r="F68" s="152">
        <v>2200</v>
      </c>
      <c r="G68" s="152">
        <v>2020</v>
      </c>
      <c r="H68" s="152">
        <v>2534</v>
      </c>
      <c r="I68" s="146">
        <v>1812</v>
      </c>
      <c r="J68" s="146">
        <v>960</v>
      </c>
      <c r="K68" s="152">
        <v>1422</v>
      </c>
      <c r="L68" s="154">
        <v>703</v>
      </c>
      <c r="M68" s="152">
        <v>524</v>
      </c>
      <c r="N68" s="154">
        <v>2066</v>
      </c>
      <c r="O68" s="154">
        <v>1246</v>
      </c>
      <c r="P68" s="147"/>
      <c r="Q68" s="152">
        <v>1</v>
      </c>
      <c r="R68" s="152">
        <v>2</v>
      </c>
      <c r="S68" s="152"/>
      <c r="T68" s="147"/>
      <c r="U68" s="147"/>
      <c r="V68" s="147"/>
      <c r="W68" s="147"/>
      <c r="X68" s="147"/>
      <c r="Y68" s="147"/>
      <c r="Z68" s="147"/>
      <c r="AA68" s="147"/>
      <c r="AB68" s="147"/>
      <c r="AC68" s="147"/>
      <c r="AD68" s="147"/>
      <c r="AE68" s="147"/>
      <c r="AF68" s="147"/>
      <c r="AG68" s="147"/>
      <c r="AH68" s="147"/>
      <c r="AI68" s="147"/>
      <c r="AJ68" s="147"/>
      <c r="AK68" s="147"/>
      <c r="AL68" s="147"/>
      <c r="AM68" s="151"/>
      <c r="AN68" s="151"/>
      <c r="AO68" s="151"/>
      <c r="AP68" s="153">
        <v>56</v>
      </c>
      <c r="AQ68" s="153">
        <v>3</v>
      </c>
      <c r="AR68" s="336"/>
      <c r="AS68" s="317"/>
      <c r="AT68" s="283">
        <f>SUM(C68:AS68)</f>
        <v>20454</v>
      </c>
      <c r="AU68" s="144"/>
      <c r="AV68" s="20" t="str">
        <f>B68</f>
        <v>MEDAN AMPLAS</v>
      </c>
      <c r="AW68" s="24">
        <f>SUM(C68:AQ68)</f>
        <v>20454</v>
      </c>
      <c r="AY68" s="24">
        <f>'PELAYANAN 24 JAM 22-23-24-25'!L28</f>
        <v>20392</v>
      </c>
      <c r="BA68" s="47">
        <f>AY68-AW68</f>
        <v>-62</v>
      </c>
      <c r="BC68">
        <v>1.4E-2</v>
      </c>
      <c r="BD68" s="47">
        <f t="shared" si="0"/>
        <v>286.35599999999999</v>
      </c>
    </row>
    <row r="69" spans="1:56" ht="3.95" customHeight="1">
      <c r="A69" s="134"/>
      <c r="B69" s="127"/>
      <c r="C69" s="148"/>
      <c r="D69" s="148"/>
      <c r="E69" s="148"/>
      <c r="F69" s="148"/>
      <c r="G69" s="148"/>
      <c r="H69" s="148"/>
      <c r="I69" s="148"/>
      <c r="J69" s="148"/>
      <c r="K69" s="148"/>
      <c r="L69" s="148"/>
      <c r="M69" s="148"/>
      <c r="N69" s="148"/>
      <c r="O69" s="148"/>
      <c r="P69" s="148"/>
      <c r="Q69" s="148"/>
      <c r="R69" s="148"/>
      <c r="S69" s="148"/>
      <c r="T69" s="148"/>
      <c r="U69" s="148"/>
      <c r="V69" s="148"/>
      <c r="W69" s="148"/>
      <c r="X69" s="148"/>
      <c r="Y69" s="148"/>
      <c r="Z69" s="148"/>
      <c r="AA69" s="148"/>
      <c r="AB69" s="148"/>
      <c r="AC69" s="148"/>
      <c r="AD69" s="148"/>
      <c r="AE69" s="148"/>
      <c r="AF69" s="148"/>
      <c r="AG69" s="148"/>
      <c r="AH69" s="148"/>
      <c r="AI69" s="148"/>
      <c r="AJ69" s="148"/>
      <c r="AK69" s="148"/>
      <c r="AL69" s="148"/>
      <c r="AM69" s="149"/>
      <c r="AN69" s="149"/>
      <c r="AO69" s="149"/>
      <c r="AP69" s="150"/>
      <c r="AQ69" s="150"/>
      <c r="AR69" s="270"/>
      <c r="AS69" s="316"/>
      <c r="AU69" s="144"/>
      <c r="AW69" s="22"/>
      <c r="AY69" s="25">
        <f>'PELAYANAN 24 JAM 22-23-24-25'!L29</f>
        <v>0</v>
      </c>
      <c r="BC69"/>
      <c r="BD69" s="47">
        <f t="shared" si="0"/>
        <v>0</v>
      </c>
    </row>
    <row r="70" spans="1:56">
      <c r="A70" s="121">
        <v>14</v>
      </c>
      <c r="B70" s="122" t="s">
        <v>219</v>
      </c>
      <c r="C70" s="145">
        <v>1284</v>
      </c>
      <c r="D70" s="145">
        <v>2539</v>
      </c>
      <c r="E70" s="146">
        <v>2158</v>
      </c>
      <c r="F70" s="145">
        <v>897</v>
      </c>
      <c r="G70" s="145">
        <v>2753</v>
      </c>
      <c r="H70" s="146">
        <v>638</v>
      </c>
      <c r="I70" s="145">
        <v>367</v>
      </c>
      <c r="J70" s="152">
        <v>1619</v>
      </c>
      <c r="K70" s="146">
        <v>1146</v>
      </c>
      <c r="L70" s="154">
        <v>7</v>
      </c>
      <c r="M70" s="145">
        <v>1605</v>
      </c>
      <c r="N70" s="147"/>
      <c r="O70" s="147"/>
      <c r="P70" s="147"/>
      <c r="Q70" s="147"/>
      <c r="R70" s="147"/>
      <c r="S70" s="147"/>
      <c r="T70" s="147"/>
      <c r="U70" s="147"/>
      <c r="V70" s="147"/>
      <c r="W70" s="147"/>
      <c r="X70" s="147"/>
      <c r="Y70" s="147"/>
      <c r="Z70" s="147"/>
      <c r="AA70" s="147"/>
      <c r="AB70" s="147"/>
      <c r="AC70" s="147"/>
      <c r="AD70" s="147"/>
      <c r="AE70" s="147"/>
      <c r="AF70" s="147"/>
      <c r="AG70" s="147"/>
      <c r="AH70" s="147"/>
      <c r="AI70" s="147"/>
      <c r="AJ70" s="147"/>
      <c r="AK70" s="147"/>
      <c r="AL70" s="147"/>
      <c r="AM70" s="151"/>
      <c r="AN70" s="151"/>
      <c r="AO70" s="151"/>
      <c r="AP70" s="153">
        <v>3</v>
      </c>
      <c r="AQ70" s="153">
        <v>9</v>
      </c>
      <c r="AR70" s="336">
        <v>17</v>
      </c>
      <c r="AS70" s="317"/>
      <c r="AT70" s="285">
        <f>SUM(C70:AR70)</f>
        <v>15042</v>
      </c>
      <c r="AU70" s="144"/>
      <c r="AV70" s="20" t="str">
        <f>B70</f>
        <v>BELAWAN KOTA</v>
      </c>
      <c r="AW70" s="24">
        <f>SUM(C70:AQ70)</f>
        <v>15025</v>
      </c>
      <c r="AY70" s="24">
        <f>'PELAYANAN 24 JAM 22-23-24-25'!L30</f>
        <v>15006</v>
      </c>
      <c r="BA70" s="47">
        <f>AY70-AW70</f>
        <v>-19</v>
      </c>
      <c r="BC70">
        <v>1.4E-2</v>
      </c>
      <c r="BD70" s="47">
        <f t="shared" si="0"/>
        <v>210.35</v>
      </c>
    </row>
    <row r="71" spans="1:56" ht="3.95" customHeight="1">
      <c r="A71" s="134"/>
      <c r="B71" s="127"/>
      <c r="C71" s="148"/>
      <c r="D71" s="148"/>
      <c r="E71" s="148"/>
      <c r="F71" s="148"/>
      <c r="G71" s="148"/>
      <c r="H71" s="148"/>
      <c r="I71" s="148"/>
      <c r="J71" s="148"/>
      <c r="K71" s="148"/>
      <c r="L71" s="148"/>
      <c r="M71" s="148"/>
      <c r="N71" s="148"/>
      <c r="O71" s="148"/>
      <c r="P71" s="148"/>
      <c r="Q71" s="148"/>
      <c r="R71" s="148"/>
      <c r="S71" s="148"/>
      <c r="T71" s="148"/>
      <c r="U71" s="148"/>
      <c r="V71" s="148"/>
      <c r="W71" s="148"/>
      <c r="X71" s="148"/>
      <c r="Y71" s="148"/>
      <c r="Z71" s="148"/>
      <c r="AA71" s="148"/>
      <c r="AB71" s="148"/>
      <c r="AC71" s="148"/>
      <c r="AD71" s="148"/>
      <c r="AE71" s="148"/>
      <c r="AF71" s="148"/>
      <c r="AG71" s="148"/>
      <c r="AH71" s="148"/>
      <c r="AI71" s="148"/>
      <c r="AJ71" s="148"/>
      <c r="AK71" s="148"/>
      <c r="AL71" s="148"/>
      <c r="AM71" s="149"/>
      <c r="AN71" s="149"/>
      <c r="AO71" s="149"/>
      <c r="AP71" s="150"/>
      <c r="AQ71" s="150"/>
      <c r="AR71" s="270"/>
      <c r="AS71" s="316"/>
      <c r="AU71" s="144"/>
      <c r="AW71" s="22"/>
      <c r="AY71" s="25">
        <f>'PELAYANAN 24 JAM 22-23-24-25'!L31</f>
        <v>0</v>
      </c>
      <c r="BC71"/>
      <c r="BD71" s="47">
        <f t="shared" si="0"/>
        <v>0</v>
      </c>
    </row>
    <row r="72" spans="1:56" ht="13.5" thickBot="1">
      <c r="A72" s="137">
        <v>15</v>
      </c>
      <c r="B72" s="138" t="s">
        <v>220</v>
      </c>
      <c r="C72" s="155">
        <v>2644</v>
      </c>
      <c r="D72" s="155">
        <v>2887</v>
      </c>
      <c r="E72" s="155">
        <v>2895</v>
      </c>
      <c r="F72" s="156">
        <v>3816</v>
      </c>
      <c r="G72" s="155">
        <v>1616</v>
      </c>
      <c r="H72" s="155">
        <v>2453</v>
      </c>
      <c r="I72" s="155">
        <v>1005</v>
      </c>
      <c r="J72" s="157">
        <v>340</v>
      </c>
      <c r="K72" s="157"/>
      <c r="L72" s="157"/>
      <c r="M72" s="157"/>
      <c r="N72" s="157"/>
      <c r="O72" s="157"/>
      <c r="P72" s="157"/>
      <c r="Q72" s="157">
        <v>75</v>
      </c>
      <c r="R72" s="157"/>
      <c r="S72" s="157"/>
      <c r="T72" s="157"/>
      <c r="U72" s="157"/>
      <c r="V72" s="157"/>
      <c r="W72" s="157"/>
      <c r="X72" s="157"/>
      <c r="Y72" s="157"/>
      <c r="Z72" s="157"/>
      <c r="AA72" s="157"/>
      <c r="AB72" s="157"/>
      <c r="AC72" s="157"/>
      <c r="AD72" s="157"/>
      <c r="AE72" s="157"/>
      <c r="AF72" s="157"/>
      <c r="AG72" s="157"/>
      <c r="AH72" s="157"/>
      <c r="AI72" s="157"/>
      <c r="AJ72" s="157"/>
      <c r="AK72" s="157"/>
      <c r="AL72" s="157"/>
      <c r="AM72" s="158"/>
      <c r="AN72" s="158"/>
      <c r="AO72" s="158"/>
      <c r="AP72" s="157">
        <v>151</v>
      </c>
      <c r="AQ72" s="157">
        <v>8</v>
      </c>
      <c r="AR72" s="340"/>
      <c r="AS72" s="321"/>
      <c r="AT72" s="283">
        <f>SUM(C72:AQ72)</f>
        <v>17890</v>
      </c>
      <c r="AU72" s="144"/>
      <c r="AV72" s="20" t="str">
        <f>B72</f>
        <v>CEMARA</v>
      </c>
      <c r="AW72" s="24">
        <f>SUM(C72:AQ72)</f>
        <v>17890</v>
      </c>
      <c r="AY72" s="24">
        <f>'PELAYANAN 24 JAM 22-23-24-25'!L32</f>
        <v>17316</v>
      </c>
      <c r="BA72" s="47">
        <f>AY72-AW72</f>
        <v>-574</v>
      </c>
      <c r="BC72">
        <v>1.4E-2</v>
      </c>
      <c r="BD72" s="47">
        <f t="shared" si="0"/>
        <v>250.46</v>
      </c>
    </row>
    <row r="73" spans="1:56">
      <c r="H73" s="159"/>
      <c r="AR73" s="21"/>
      <c r="AS73" s="322"/>
      <c r="AY73" s="47">
        <f>'PELAYANAN 24 JAM 22-23-24-25'!L33</f>
        <v>0</v>
      </c>
      <c r="BD73" s="47">
        <f>SUM(BD44:BD72)</f>
        <v>6334.3560000000007</v>
      </c>
    </row>
    <row r="74" spans="1:56" ht="15.75">
      <c r="B74" s="160" t="s">
        <v>231</v>
      </c>
      <c r="U74" s="427"/>
      <c r="V74" s="427"/>
      <c r="W74" s="427"/>
      <c r="X74" s="427"/>
      <c r="AE74" s="427"/>
      <c r="AF74" s="427"/>
      <c r="AG74" s="427"/>
      <c r="AH74" s="427"/>
      <c r="AQ74" s="21"/>
      <c r="AR74" s="21"/>
      <c r="AS74" s="21"/>
      <c r="AT74" s="304"/>
      <c r="AU74" s="306"/>
      <c r="AV74" s="301"/>
      <c r="AW74" s="24">
        <f>SUM(AW44:AW72)</f>
        <v>452454</v>
      </c>
      <c r="AY74" s="24">
        <f>'PELAYANAN 24 JAM 22-23-24-25'!L34</f>
        <v>442644</v>
      </c>
      <c r="BA74" s="47">
        <f>AY74-AW74</f>
        <v>-9810</v>
      </c>
    </row>
    <row r="75" spans="1:56" ht="15">
      <c r="F75" s="21"/>
      <c r="G75" s="21"/>
      <c r="H75" s="21"/>
      <c r="AH75" s="49"/>
      <c r="AQ75" s="303"/>
      <c r="AR75" s="303"/>
      <c r="AS75" s="303"/>
      <c r="AT75" s="300"/>
      <c r="AU75" s="308"/>
      <c r="AV75" s="301"/>
    </row>
    <row r="76" spans="1:56" ht="15">
      <c r="A76" s="161"/>
      <c r="B76" s="145" t="s">
        <v>233</v>
      </c>
      <c r="F76" s="21"/>
      <c r="G76" s="278"/>
      <c r="H76" s="21"/>
      <c r="AH76" s="49"/>
      <c r="AQ76"/>
      <c r="AR76"/>
      <c r="AS76"/>
      <c r="AT76" s="309" t="s">
        <v>378</v>
      </c>
      <c r="AU76" s="298">
        <v>2468</v>
      </c>
      <c r="AV76" s="301"/>
    </row>
    <row r="77" spans="1:56" ht="15">
      <c r="A77" s="21"/>
      <c r="F77" s="21"/>
      <c r="G77" s="279"/>
      <c r="H77" s="21"/>
      <c r="AH77" s="49"/>
      <c r="AQ77"/>
      <c r="AR77"/>
      <c r="AS77"/>
      <c r="AT77" s="309" t="s">
        <v>379</v>
      </c>
      <c r="AU77" s="298">
        <v>2976</v>
      </c>
      <c r="AV77" s="301"/>
    </row>
    <row r="78" spans="1:56" ht="15">
      <c r="A78" s="162"/>
      <c r="B78" s="146" t="s">
        <v>234</v>
      </c>
      <c r="F78" s="21"/>
      <c r="G78" s="278"/>
      <c r="H78" s="21"/>
      <c r="N78" s="428"/>
      <c r="O78" s="428"/>
      <c r="P78" s="428"/>
      <c r="Q78" s="428"/>
      <c r="X78" s="428"/>
      <c r="Y78" s="428"/>
      <c r="Z78" s="428"/>
      <c r="AA78" s="428"/>
      <c r="AH78" s="49"/>
      <c r="AQ78"/>
      <c r="AR78"/>
      <c r="AS78"/>
      <c r="AT78" s="309" t="s">
        <v>380</v>
      </c>
      <c r="AU78" s="298">
        <v>2106</v>
      </c>
      <c r="AV78" s="301"/>
    </row>
    <row r="79" spans="1:56" ht="15">
      <c r="A79" s="21"/>
      <c r="F79" s="21"/>
      <c r="G79" s="279"/>
      <c r="H79" s="21"/>
      <c r="N79" s="427"/>
      <c r="O79" s="427"/>
      <c r="P79" s="427"/>
      <c r="Q79" s="427"/>
      <c r="X79" s="427"/>
      <c r="Y79" s="427"/>
      <c r="Z79" s="427"/>
      <c r="AA79" s="427"/>
      <c r="AH79" s="49"/>
      <c r="AQ79"/>
      <c r="AR79"/>
      <c r="AS79"/>
      <c r="AT79" s="309" t="s">
        <v>381</v>
      </c>
      <c r="AU79" s="298">
        <v>2274</v>
      </c>
      <c r="AV79" s="301"/>
    </row>
    <row r="80" spans="1:56" ht="15">
      <c r="A80" s="163"/>
      <c r="B80" s="152" t="s">
        <v>235</v>
      </c>
      <c r="F80" s="21"/>
      <c r="G80" s="279"/>
      <c r="H80" s="21"/>
      <c r="AH80" s="49"/>
      <c r="AQ80"/>
      <c r="AR80"/>
      <c r="AS80"/>
      <c r="AT80" s="309" t="s">
        <v>382</v>
      </c>
      <c r="AU80" s="298">
        <v>1558</v>
      </c>
      <c r="AV80" s="301"/>
    </row>
    <row r="81" spans="1:48" ht="15">
      <c r="A81" s="21"/>
      <c r="F81" s="21"/>
      <c r="G81" s="279"/>
      <c r="H81" s="21"/>
      <c r="AH81" s="49"/>
      <c r="AQ81"/>
      <c r="AR81"/>
      <c r="AS81"/>
      <c r="AT81" s="309" t="s">
        <v>383</v>
      </c>
      <c r="AU81" s="298">
        <v>3126</v>
      </c>
      <c r="AV81" s="301"/>
    </row>
    <row r="82" spans="1:48" ht="15">
      <c r="A82" s="164"/>
      <c r="B82" s="272" t="s">
        <v>236</v>
      </c>
      <c r="F82" s="21"/>
      <c r="G82" s="279"/>
      <c r="H82" s="21"/>
      <c r="AH82" s="49"/>
      <c r="AQ82"/>
      <c r="AR82"/>
      <c r="AS82"/>
      <c r="AT82" s="309" t="s">
        <v>384</v>
      </c>
      <c r="AU82" s="298">
        <v>2578</v>
      </c>
      <c r="AV82" s="301"/>
    </row>
    <row r="83" spans="1:48" ht="15">
      <c r="F83" s="21"/>
      <c r="G83" s="278"/>
      <c r="H83" s="21"/>
      <c r="AG83"/>
      <c r="AH83" s="49"/>
      <c r="AQ83"/>
      <c r="AR83"/>
      <c r="AS83"/>
      <c r="AT83" s="309" t="s">
        <v>385</v>
      </c>
      <c r="AU83" s="298">
        <v>2399</v>
      </c>
      <c r="AV83" s="301"/>
    </row>
    <row r="84" spans="1:48" ht="15">
      <c r="F84" s="21"/>
      <c r="G84" s="280"/>
      <c r="H84" s="21"/>
      <c r="I84" s="20">
        <v>2856</v>
      </c>
      <c r="V84" s="49"/>
      <c r="AQ84"/>
      <c r="AR84"/>
      <c r="AS84"/>
      <c r="AT84" s="309" t="s">
        <v>386</v>
      </c>
      <c r="AU84" s="298">
        <v>2195</v>
      </c>
      <c r="AV84" s="301"/>
    </row>
    <row r="85" spans="1:48" ht="15">
      <c r="F85" s="21"/>
      <c r="G85" s="279"/>
      <c r="H85" s="21"/>
      <c r="I85" s="20">
        <v>2940</v>
      </c>
      <c r="V85" s="49"/>
      <c r="AQ85"/>
      <c r="AR85"/>
      <c r="AS85"/>
      <c r="AT85" s="309" t="s">
        <v>387</v>
      </c>
      <c r="AU85" s="298">
        <v>353</v>
      </c>
      <c r="AV85" s="301"/>
    </row>
    <row r="86" spans="1:48" ht="15">
      <c r="F86" s="21"/>
      <c r="G86" s="278"/>
      <c r="H86" s="21"/>
      <c r="I86" s="20">
        <v>2075</v>
      </c>
      <c r="V86" s="49"/>
      <c r="AQ86"/>
      <c r="AR86"/>
      <c r="AS86"/>
      <c r="AT86" s="309" t="s">
        <v>392</v>
      </c>
      <c r="AU86" s="298">
        <v>2339</v>
      </c>
      <c r="AV86" s="301"/>
    </row>
    <row r="87" spans="1:48" ht="15">
      <c r="A87"/>
      <c r="F87" s="21"/>
      <c r="G87" s="279"/>
      <c r="H87" s="21"/>
      <c r="I87" s="20">
        <v>2188</v>
      </c>
      <c r="V87" s="49"/>
      <c r="AQ87"/>
      <c r="AR87"/>
      <c r="AS87"/>
      <c r="AT87" s="309" t="s">
        <v>388</v>
      </c>
      <c r="AU87" s="298">
        <v>6</v>
      </c>
      <c r="AV87" s="301"/>
    </row>
    <row r="88" spans="1:48" ht="15">
      <c r="F88" s="21"/>
      <c r="G88" s="280"/>
      <c r="H88" s="21"/>
      <c r="I88" s="20">
        <v>1420</v>
      </c>
      <c r="AQ88"/>
      <c r="AR88"/>
      <c r="AS88"/>
      <c r="AT88" s="309" t="s">
        <v>389</v>
      </c>
      <c r="AU88" s="298">
        <v>2137</v>
      </c>
      <c r="AV88" s="301"/>
    </row>
    <row r="89" spans="1:48" ht="15">
      <c r="F89" s="21"/>
      <c r="G89" s="281"/>
      <c r="H89" s="21"/>
      <c r="I89" s="20">
        <v>3126</v>
      </c>
      <c r="AQ89"/>
      <c r="AR89"/>
      <c r="AS89"/>
      <c r="AT89" s="309" t="s">
        <v>393</v>
      </c>
      <c r="AU89" s="298">
        <v>2461</v>
      </c>
      <c r="AV89" s="301"/>
    </row>
    <row r="90" spans="1:48" ht="15">
      <c r="F90" s="21"/>
      <c r="G90" s="278"/>
      <c r="H90" s="21"/>
      <c r="I90" s="20">
        <v>2563</v>
      </c>
      <c r="AQ90"/>
      <c r="AR90"/>
      <c r="AS90"/>
      <c r="AT90" s="309" t="s">
        <v>394</v>
      </c>
      <c r="AU90" s="298">
        <v>1352</v>
      </c>
      <c r="AV90" s="301"/>
    </row>
    <row r="91" spans="1:48" ht="15">
      <c r="F91" s="21"/>
      <c r="G91" s="279"/>
      <c r="H91" s="21"/>
      <c r="I91" s="20">
        <v>2384</v>
      </c>
      <c r="AQ91"/>
      <c r="AR91"/>
      <c r="AS91"/>
      <c r="AT91" s="309" t="s">
        <v>395</v>
      </c>
      <c r="AU91" s="298">
        <v>1301</v>
      </c>
      <c r="AV91" s="301"/>
    </row>
    <row r="92" spans="1:48" ht="15">
      <c r="F92" s="21"/>
      <c r="G92" s="279"/>
      <c r="H92" s="21"/>
      <c r="I92" s="20">
        <v>2158</v>
      </c>
      <c r="AQ92"/>
      <c r="AR92"/>
      <c r="AS92"/>
      <c r="AT92" s="309" t="s">
        <v>398</v>
      </c>
      <c r="AU92" s="298">
        <v>640</v>
      </c>
      <c r="AV92" s="302"/>
    </row>
    <row r="93" spans="1:48" ht="15">
      <c r="F93" s="21"/>
      <c r="G93" s="279"/>
      <c r="H93" s="21"/>
      <c r="I93" s="20">
        <v>349</v>
      </c>
      <c r="AQ93"/>
      <c r="AR93"/>
      <c r="AS93"/>
      <c r="AT93" s="309" t="s">
        <v>396</v>
      </c>
      <c r="AU93" s="298">
        <v>2199</v>
      </c>
      <c r="AV93" s="301"/>
    </row>
    <row r="94" spans="1:48" ht="15">
      <c r="F94" s="21"/>
      <c r="G94" s="278"/>
      <c r="H94" s="21"/>
      <c r="I94" s="20">
        <v>2267</v>
      </c>
      <c r="AQ94"/>
      <c r="AR94"/>
      <c r="AS94"/>
      <c r="AT94" s="309" t="s">
        <v>397</v>
      </c>
      <c r="AU94" s="298">
        <v>2852</v>
      </c>
      <c r="AV94" s="301"/>
    </row>
    <row r="95" spans="1:48" ht="15">
      <c r="F95" s="21"/>
      <c r="G95" s="282"/>
      <c r="H95" s="21"/>
      <c r="I95" s="20">
        <v>6</v>
      </c>
      <c r="AQ95"/>
      <c r="AR95"/>
      <c r="AS95"/>
      <c r="AT95" s="309" t="s">
        <v>399</v>
      </c>
      <c r="AU95" s="298">
        <v>2516</v>
      </c>
      <c r="AV95" s="301"/>
    </row>
    <row r="96" spans="1:48" ht="15">
      <c r="F96" s="21"/>
      <c r="G96" s="279"/>
      <c r="H96" s="21"/>
      <c r="I96" s="20">
        <v>2085</v>
      </c>
      <c r="AQ96"/>
      <c r="AR96"/>
      <c r="AS96"/>
      <c r="AT96" s="309" t="s">
        <v>400</v>
      </c>
      <c r="AU96" s="298">
        <v>2002</v>
      </c>
      <c r="AV96" s="301"/>
    </row>
    <row r="97" spans="6:48" ht="15">
      <c r="F97" s="21"/>
      <c r="G97" s="279"/>
      <c r="H97" s="21"/>
      <c r="I97" s="20">
        <v>2315</v>
      </c>
      <c r="AQ97"/>
      <c r="AR97"/>
      <c r="AS97"/>
      <c r="AT97" s="309" t="s">
        <v>401</v>
      </c>
      <c r="AU97" s="298">
        <v>3161</v>
      </c>
      <c r="AV97" s="307"/>
    </row>
    <row r="98" spans="6:48" ht="15">
      <c r="F98" s="21"/>
      <c r="G98" s="279"/>
      <c r="H98" s="21"/>
      <c r="I98" s="20">
        <v>1230</v>
      </c>
      <c r="AQ98"/>
      <c r="AR98"/>
      <c r="AS98"/>
      <c r="AT98" s="309" t="s">
        <v>402</v>
      </c>
      <c r="AU98" s="298">
        <v>997</v>
      </c>
      <c r="AV98" s="305"/>
    </row>
    <row r="99" spans="6:48" ht="15">
      <c r="F99" s="21"/>
      <c r="G99" s="279"/>
      <c r="H99" s="21"/>
      <c r="I99" s="20">
        <v>1156</v>
      </c>
      <c r="AQ99"/>
      <c r="AR99"/>
      <c r="AS99"/>
      <c r="AT99" s="309" t="s">
        <v>390</v>
      </c>
      <c r="AU99" s="298">
        <v>1</v>
      </c>
    </row>
    <row r="100" spans="6:48" ht="15">
      <c r="F100" s="21"/>
      <c r="G100" s="279"/>
      <c r="H100" s="21"/>
      <c r="I100" s="20">
        <v>632</v>
      </c>
      <c r="AQ100"/>
      <c r="AR100"/>
      <c r="AS100"/>
      <c r="AT100" s="309" t="s">
        <v>391</v>
      </c>
      <c r="AU100" s="298">
        <v>2</v>
      </c>
    </row>
    <row r="101" spans="6:48">
      <c r="F101" s="21"/>
      <c r="G101" s="21"/>
      <c r="H101" s="21"/>
      <c r="I101" s="20">
        <v>2155</v>
      </c>
      <c r="AQ101"/>
      <c r="AR101"/>
      <c r="AS101"/>
      <c r="AT101"/>
      <c r="AU101" s="299">
        <f>SUM(AU76:AU100)</f>
        <v>45999</v>
      </c>
    </row>
    <row r="102" spans="6:48">
      <c r="I102" s="20">
        <v>2628</v>
      </c>
      <c r="N102" s="49"/>
      <c r="AQ102"/>
      <c r="AR102"/>
      <c r="AS102"/>
      <c r="AT102"/>
      <c r="AU102"/>
    </row>
    <row r="103" spans="6:48">
      <c r="I103" s="20">
        <v>2394</v>
      </c>
      <c r="N103" s="49"/>
      <c r="AT103" s="20"/>
    </row>
    <row r="104" spans="6:48">
      <c r="I104" s="20">
        <v>1794</v>
      </c>
      <c r="AT104" s="20"/>
    </row>
    <row r="105" spans="6:48">
      <c r="I105" s="20">
        <v>2747</v>
      </c>
      <c r="AT105" s="20"/>
    </row>
    <row r="106" spans="6:48">
      <c r="I106" s="20">
        <v>936</v>
      </c>
      <c r="T106" s="49"/>
      <c r="AT106" s="20"/>
    </row>
    <row r="107" spans="6:48">
      <c r="I107" s="20">
        <f>SUM(I84:I106)</f>
        <v>44404</v>
      </c>
      <c r="AA107" s="49"/>
      <c r="AT107" s="20"/>
    </row>
    <row r="108" spans="6:48">
      <c r="N108" s="297"/>
      <c r="AH108" s="49"/>
      <c r="AT108" s="20"/>
    </row>
    <row r="109" spans="6:48">
      <c r="AH109" s="49"/>
      <c r="AT109" s="20"/>
    </row>
    <row r="110" spans="6:48">
      <c r="AH110" s="49"/>
      <c r="AT110" s="20"/>
    </row>
    <row r="111" spans="6:48">
      <c r="AH111" s="49"/>
      <c r="AT111" s="20"/>
    </row>
    <row r="112" spans="6:48">
      <c r="AH112" s="49"/>
      <c r="AT112" s="20"/>
    </row>
  </sheetData>
  <mergeCells count="96">
    <mergeCell ref="AF41:AF42"/>
    <mergeCell ref="AG41:AG42"/>
    <mergeCell ref="AC41:AC42"/>
    <mergeCell ref="V41:V42"/>
    <mergeCell ref="W41:W42"/>
    <mergeCell ref="Z41:Z42"/>
    <mergeCell ref="AD41:AD42"/>
    <mergeCell ref="Y41:Y42"/>
    <mergeCell ref="X41:X42"/>
    <mergeCell ref="N79:Q79"/>
    <mergeCell ref="X79:AA79"/>
    <mergeCell ref="AH41:AH42"/>
    <mergeCell ref="AA41:AA42"/>
    <mergeCell ref="AB41:AB42"/>
    <mergeCell ref="N78:Q78"/>
    <mergeCell ref="X78:AA78"/>
    <mergeCell ref="U74:X74"/>
    <mergeCell ref="AE74:AH74"/>
    <mergeCell ref="AE41:AE42"/>
    <mergeCell ref="AG4:AG5"/>
    <mergeCell ref="AP4:AP5"/>
    <mergeCell ref="AQ4:AQ5"/>
    <mergeCell ref="AH4:AH5"/>
    <mergeCell ref="AI4:AI5"/>
    <mergeCell ref="Z4:Z5"/>
    <mergeCell ref="AA4:AA5"/>
    <mergeCell ref="AB4:AB5"/>
    <mergeCell ref="AC4:AC5"/>
    <mergeCell ref="AM4:AM5"/>
    <mergeCell ref="AI41:AI42"/>
    <mergeCell ref="AJ41:AJ42"/>
    <mergeCell ref="AL41:AL42"/>
    <mergeCell ref="AM41:AM42"/>
    <mergeCell ref="AK41:AK42"/>
    <mergeCell ref="A1:AQ1"/>
    <mergeCell ref="A2:AQ2"/>
    <mergeCell ref="A38:AQ38"/>
    <mergeCell ref="A39:AQ39"/>
    <mergeCell ref="AF4:AF5"/>
    <mergeCell ref="A41:A42"/>
    <mergeCell ref="C41:C42"/>
    <mergeCell ref="D41:D42"/>
    <mergeCell ref="E41:E42"/>
    <mergeCell ref="J41:J42"/>
    <mergeCell ref="F41:F42"/>
    <mergeCell ref="G41:G42"/>
    <mergeCell ref="H41:H42"/>
    <mergeCell ref="I41:I42"/>
    <mergeCell ref="K41:K42"/>
    <mergeCell ref="L41:L42"/>
    <mergeCell ref="P4:P5"/>
    <mergeCell ref="Q4:Q5"/>
    <mergeCell ref="M41:M42"/>
    <mergeCell ref="N41:N42"/>
    <mergeCell ref="O41:O42"/>
    <mergeCell ref="P41:P42"/>
    <mergeCell ref="Q41:Q42"/>
    <mergeCell ref="S4:S5"/>
    <mergeCell ref="T4:T5"/>
    <mergeCell ref="S41:S42"/>
    <mergeCell ref="T41:T42"/>
    <mergeCell ref="U41:U42"/>
    <mergeCell ref="U4:U5"/>
    <mergeCell ref="R4:R5"/>
    <mergeCell ref="R41:R42"/>
    <mergeCell ref="AJ4:AJ5"/>
    <mergeCell ref="AL4:AL5"/>
    <mergeCell ref="V4:V5"/>
    <mergeCell ref="W4:W5"/>
    <mergeCell ref="X4:X5"/>
    <mergeCell ref="Y4:Y5"/>
    <mergeCell ref="AD4:AD5"/>
    <mergeCell ref="AE4:AE5"/>
    <mergeCell ref="H4:H5"/>
    <mergeCell ref="I4:I5"/>
    <mergeCell ref="N4:N5"/>
    <mergeCell ref="O4:O5"/>
    <mergeCell ref="J4:J5"/>
    <mergeCell ref="K4:K5"/>
    <mergeCell ref="L4:L5"/>
    <mergeCell ref="M4:M5"/>
    <mergeCell ref="A4:A5"/>
    <mergeCell ref="C4:C5"/>
    <mergeCell ref="D4:D5"/>
    <mergeCell ref="E4:E5"/>
    <mergeCell ref="F4:F5"/>
    <mergeCell ref="G4:G5"/>
    <mergeCell ref="AR41:AR42"/>
    <mergeCell ref="AS41:AS42"/>
    <mergeCell ref="AK4:AK5"/>
    <mergeCell ref="AN4:AN5"/>
    <mergeCell ref="AN41:AN42"/>
    <mergeCell ref="AO4:AO5"/>
    <mergeCell ref="AO41:AO42"/>
    <mergeCell ref="AP41:AP42"/>
    <mergeCell ref="AQ41:AQ42"/>
  </mergeCells>
  <phoneticPr fontId="32" type="noConversion"/>
  <printOptions horizontalCentered="1"/>
  <pageMargins left="0.11811023622047245" right="0.11811023622047245" top="0.78740157480314965" bottom="0.23622047244094491" header="0.39370078740157483" footer="0.47244094488188981"/>
  <pageSetup paperSize="256" scale="56" firstPageNumber="4294963191" orientation="landscape" horizontalDpi="4294967293" verticalDpi="4294967293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 enableFormatConditionsCalculation="0">
    <tabColor indexed="44"/>
    <pageSetUpPr fitToPage="1"/>
  </sheetPr>
  <dimension ref="A1:AO62"/>
  <sheetViews>
    <sheetView showGridLines="0" zoomScale="70" zoomScaleNormal="70" zoomScaleSheetLayoutView="55" workbookViewId="0">
      <pane ySplit="5" topLeftCell="A6" activePane="bottomLeft" state="frozen"/>
      <selection pane="bottomLeft" sqref="A1:V23"/>
    </sheetView>
  </sheetViews>
  <sheetFormatPr defaultRowHeight="12.75"/>
  <cols>
    <col min="1" max="1" width="3.85546875" style="165" customWidth="1"/>
    <col min="2" max="2" width="20.140625" style="166" customWidth="1"/>
    <col min="3" max="3" width="13.85546875" style="166" bestFit="1" customWidth="1"/>
    <col min="4" max="5" width="16" style="166" bestFit="1" customWidth="1"/>
    <col min="6" max="8" width="14" style="166" customWidth="1"/>
    <col min="9" max="9" width="13.7109375" style="166" bestFit="1" customWidth="1"/>
    <col min="10" max="10" width="14.42578125" style="166" bestFit="1" customWidth="1"/>
    <col min="11" max="11" width="14.7109375" style="166" bestFit="1" customWidth="1"/>
    <col min="12" max="12" width="14.42578125" style="166" bestFit="1" customWidth="1"/>
    <col min="13" max="13" width="11.85546875" style="166" customWidth="1"/>
    <col min="14" max="14" width="13.5703125" style="166" bestFit="1" customWidth="1"/>
    <col min="15" max="15" width="14.7109375" style="166" bestFit="1" customWidth="1"/>
    <col min="16" max="16" width="11.7109375" style="166" customWidth="1"/>
    <col min="17" max="17" width="14" style="166" customWidth="1"/>
    <col min="18" max="19" width="13.42578125" style="166" bestFit="1" customWidth="1"/>
    <col min="20" max="20" width="11.140625" style="166" customWidth="1"/>
    <col min="21" max="21" width="15.7109375" style="166" customWidth="1"/>
    <col min="22" max="22" width="15.140625" style="166" customWidth="1"/>
    <col min="23" max="23" width="23.140625" style="167" bestFit="1" customWidth="1"/>
    <col min="24" max="24" width="9.140625" style="166" bestFit="1"/>
    <col min="25" max="39" width="9.140625" style="166"/>
    <col min="40" max="40" width="11.7109375" style="166" customWidth="1"/>
    <col min="41" max="16384" width="9.140625" style="166"/>
  </cols>
  <sheetData>
    <row r="1" spans="1:23" ht="24.95" customHeight="1">
      <c r="A1" s="432" t="s">
        <v>284</v>
      </c>
      <c r="B1" s="432"/>
      <c r="C1" s="432"/>
      <c r="D1" s="432"/>
      <c r="E1" s="432"/>
      <c r="F1" s="432"/>
      <c r="G1" s="432"/>
      <c r="H1" s="432"/>
      <c r="I1" s="432"/>
      <c r="J1" s="432"/>
      <c r="K1" s="432"/>
      <c r="L1" s="432"/>
      <c r="M1" s="432"/>
      <c r="N1" s="432"/>
      <c r="O1" s="432"/>
      <c r="P1" s="432"/>
      <c r="Q1" s="432"/>
      <c r="R1" s="432"/>
      <c r="S1" s="432"/>
      <c r="T1" s="432"/>
      <c r="U1" s="432"/>
      <c r="V1" s="432"/>
    </row>
    <row r="2" spans="1:23" ht="24.95" customHeight="1">
      <c r="A2" s="433" t="s">
        <v>405</v>
      </c>
      <c r="B2" s="432"/>
      <c r="C2" s="432"/>
      <c r="D2" s="432"/>
      <c r="E2" s="432"/>
      <c r="F2" s="432"/>
      <c r="G2" s="432"/>
      <c r="H2" s="432"/>
      <c r="I2" s="432"/>
      <c r="J2" s="432"/>
      <c r="K2" s="432"/>
      <c r="L2" s="432"/>
      <c r="M2" s="432"/>
      <c r="N2" s="432"/>
      <c r="O2" s="432"/>
      <c r="P2" s="432"/>
      <c r="Q2" s="432"/>
      <c r="R2" s="432"/>
      <c r="S2" s="432"/>
      <c r="T2" s="432"/>
      <c r="U2" s="432"/>
      <c r="V2" s="432"/>
    </row>
    <row r="3" spans="1:23" ht="18" customHeight="1">
      <c r="P3" s="166" t="s">
        <v>403</v>
      </c>
    </row>
    <row r="4" spans="1:23" ht="24.95" customHeight="1">
      <c r="A4" s="434" t="s">
        <v>237</v>
      </c>
      <c r="B4" s="436" t="s">
        <v>238</v>
      </c>
      <c r="C4" s="438" t="s">
        <v>239</v>
      </c>
      <c r="D4" s="439"/>
      <c r="E4" s="439"/>
      <c r="F4" s="439"/>
      <c r="G4" s="439"/>
      <c r="H4" s="440"/>
      <c r="I4" s="441" t="s">
        <v>240</v>
      </c>
      <c r="J4" s="442"/>
      <c r="K4" s="442"/>
      <c r="L4" s="442"/>
      <c r="M4" s="442"/>
      <c r="N4" s="442"/>
      <c r="O4" s="442"/>
      <c r="P4" s="442"/>
      <c r="Q4" s="442"/>
      <c r="R4" s="442"/>
      <c r="S4" s="442"/>
      <c r="T4" s="443"/>
      <c r="U4" s="189" t="s">
        <v>241</v>
      </c>
      <c r="V4" s="444" t="s">
        <v>5</v>
      </c>
    </row>
    <row r="5" spans="1:23" ht="24.95" customHeight="1" thickBot="1">
      <c r="A5" s="435"/>
      <c r="B5" s="437"/>
      <c r="C5" s="191" t="s">
        <v>242</v>
      </c>
      <c r="D5" s="191" t="s">
        <v>243</v>
      </c>
      <c r="E5" s="191" t="s">
        <v>244</v>
      </c>
      <c r="F5" s="191" t="s">
        <v>245</v>
      </c>
      <c r="G5" s="191" t="s">
        <v>246</v>
      </c>
      <c r="H5" s="191" t="s">
        <v>247</v>
      </c>
      <c r="I5" s="190" t="s">
        <v>248</v>
      </c>
      <c r="J5" s="192" t="s">
        <v>249</v>
      </c>
      <c r="K5" s="192" t="s">
        <v>250</v>
      </c>
      <c r="L5" s="192" t="s">
        <v>251</v>
      </c>
      <c r="M5" s="192" t="s">
        <v>252</v>
      </c>
      <c r="N5" s="192" t="s">
        <v>253</v>
      </c>
      <c r="O5" s="192" t="s">
        <v>254</v>
      </c>
      <c r="P5" s="192" t="s">
        <v>255</v>
      </c>
      <c r="Q5" s="192" t="s">
        <v>256</v>
      </c>
      <c r="R5" s="192" t="s">
        <v>257</v>
      </c>
      <c r="S5" s="192" t="s">
        <v>258</v>
      </c>
      <c r="T5" s="192" t="s">
        <v>259</v>
      </c>
      <c r="U5" s="192" t="s">
        <v>260</v>
      </c>
      <c r="V5" s="445"/>
    </row>
    <row r="6" spans="1:23" ht="24.95" customHeight="1">
      <c r="A6" s="193">
        <v>1</v>
      </c>
      <c r="B6" s="168" t="s">
        <v>261</v>
      </c>
      <c r="C6" s="194">
        <f>283+422+201+48+48+96+93+180+178+139+21+305+5+112+216+7+5+193+141+2+25+101+128+24+251+207+11+10+138+89+5+2+153+130+12+5+8+110+68+4+37+2+162+208+2+36+191+239+90+102+151+1+34+103+153+9+130+152+8+145+160+21+148+182+99+75+177+1+3+162+10+21+29+161+20+116+118+19+141+12+59+39+176+202+32+26+205+6+9+32+137+1+10+15+240+19+6+305+1+15+1+14+1+12+40+123+3+79+4+300+25+102+11+29+1+74+19+161+45+65+6+74+96+151+10+46+75+22+153+10+57+192+4+300+130+123+4+206+183+56+107+121+154+207+114+30+114+411+30+119+360+109+706+120+350+833+452+27+110+546+12+91+240+28+86+205+258+147+15+190+346+105+30+191+63+24+121+85+30+300+364+128+12+130+429+455+12+298+417+150+171+1+348</f>
        <v>22850</v>
      </c>
      <c r="D6" s="194">
        <f>101737+120+294+153+6+11+48+55+51+31+5+31+32+57+15+35+72+5+14+6+16+36+34+20+24+15+22+12+16+12+37+18+116+21+63+36+43+10+9+64+15+6+5+8+8+14+6+2+6+35+12+10+62+3+12+6+48+56+168+69+241+18+8+41+1+3+11+16+36+39+5+1+76+35+85+1+1+23</f>
        <v>104594</v>
      </c>
      <c r="E6" s="194">
        <f>86132+474+204+40+43+64+132+46+41+58+514+88+173+32+62+45+60+6+50+73+37+106+1+41+14+22+95+6+48+3+18+11+3+50+3+55+63+1+48+9+149+6+1+70+2+60+6+3+4+130+250+12+2+4+8+36+3+287+304+8+49+1+5+73</f>
        <v>90444</v>
      </c>
      <c r="F6" s="194">
        <f>51319+100+208+114+119+68+320+94+23+335.5+6+6+11+363+2+1+2+95+3+2+113+9+6+3+1+1+2+2+9+199+14+24+8+7+18</f>
        <v>53607.5</v>
      </c>
      <c r="G6" s="194"/>
      <c r="H6" s="194">
        <f>51319+100+100+1+2+1+1+1+2+5+7</f>
        <v>51539</v>
      </c>
      <c r="I6" s="195">
        <f>5</f>
        <v>5</v>
      </c>
      <c r="J6" s="194"/>
      <c r="K6" s="194"/>
      <c r="L6" s="194"/>
      <c r="M6" s="194"/>
      <c r="N6" s="194"/>
      <c r="O6" s="194"/>
      <c r="P6" s="194"/>
      <c r="Q6" s="194"/>
      <c r="R6" s="194"/>
      <c r="S6" s="194"/>
      <c r="T6" s="194"/>
      <c r="U6" s="196">
        <f t="shared" ref="U6:U22" si="0">SUM(C6:T6)</f>
        <v>323039.5</v>
      </c>
      <c r="V6" s="197"/>
      <c r="W6" s="264"/>
    </row>
    <row r="7" spans="1:23" ht="24.95" customHeight="1">
      <c r="A7" s="193">
        <f t="shared" ref="A7:A22" si="1">A6+1</f>
        <v>2</v>
      </c>
      <c r="B7" s="168" t="s">
        <v>48</v>
      </c>
      <c r="C7" s="194">
        <f>1535+22+361+275+115+59+31+163+8+2+268+23+364+27+320+34+12+56+254+38+1+82+199+31+2+40+309+39+5+64+243+31+1+200+373+21+6+13+94+163+25+2+10+83+16+80+155+12+5+75+133+21+84+325+22+1+86+477+30+49+2+488+17+46+289+70+11+4+316+11+2+41+167+4+194+721+23+2+7+87+308+23+11+37+20+1+14+18+67+7+26+36+10+41+208+31+7+461+234+24+11+40+58+6+16+57+87+28+11+31+344+31+7+253+38+7+61+5+202+18+2+85+1+297+28+7+3+38+81+3+16+381+34+12+89+274+26+25+19+9+94+71+6+214+3+39+4+149+13+18+2+8+8+70+6+20+65+253+38+7+61+5+138+270+43+79+124+257+17+157+20+28+35+11+34+153+34+210+6+68+36+12+37+186+6+135+21+75+38+12+116+36+69+51+108+172+18+41+46+217+22+3+45+97+26+65+12+42+87+38+156+14+60+39+71+11+33+4+57+54+56+112+3+49+60+56+31+96+72+6+101+8+42+100+18+140+6+74+10+112+12</f>
        <v>20772</v>
      </c>
      <c r="D7" s="194">
        <f>112579.5+32+14+128+3+3+2+79+97+64+68+47+23+2+49+12+40+1+4+10+32+61+3+12+3+2+1+27+26+54+3+49+18+95+1+46+18+1+102+3+10+6+2+3+1+1+2+21+6+5+55+33+1+6+2+85+12+53+59+80+11+33+9+4+38+3+15+4+21+3+7+8+55+15+24+8+14+5+42+39+112+9+39+1+12</f>
        <v>114788.5</v>
      </c>
      <c r="E7" s="194">
        <f>77396+1222+201+332+1+238+8+85+555+136+54+50+13+524+113+89+1+3+1030+181+198+130+443+2+6+129+128+161+2+58+5+81+342+30+3+2+124+13+138+306+4+79+78+1+40+4+6+76+1+2+3+1+51+6+11+23+25+1+37+38+2+68+34+19+6+2+54+16+66+6+9+5+69+2+4+6+74+5</f>
        <v>85467</v>
      </c>
      <c r="F7" s="194">
        <f>45342+10+53+20+161+3+764+13+1+170+13+12+1+6+4+6+1+84+14+9+97+3+10+1+2+3+4+5+1+10+2+141+1+7+126+2+8+4+9+2+9+4+2+1+3+5+4+3+2+5+1+24+1+4+5+10+2+6+1+2+23+25+3+2+12+2+3+1+2+12+2+4+2</f>
        <v>47312</v>
      </c>
      <c r="G7" s="194"/>
      <c r="H7" s="194">
        <f>2+1+2+1+1+28395+3+15+1+5+3+30+51+1+1+4+2+2</f>
        <v>28520</v>
      </c>
      <c r="I7" s="195"/>
      <c r="J7" s="194"/>
      <c r="K7" s="194"/>
      <c r="L7" s="194"/>
      <c r="M7" s="194"/>
      <c r="N7" s="194"/>
      <c r="O7" s="194"/>
      <c r="P7" s="194"/>
      <c r="Q7" s="194"/>
      <c r="R7" s="194"/>
      <c r="S7" s="194"/>
      <c r="T7" s="194"/>
      <c r="U7" s="196">
        <f t="shared" si="0"/>
        <v>296859.5</v>
      </c>
      <c r="V7" s="197"/>
      <c r="W7" s="264"/>
    </row>
    <row r="8" spans="1:23" ht="24.95" customHeight="1">
      <c r="A8" s="193">
        <f t="shared" si="1"/>
        <v>3</v>
      </c>
      <c r="B8" s="168" t="s">
        <v>165</v>
      </c>
      <c r="C8" s="194">
        <f>340+388+362+350+420+220+24+96+355+323+376+248+538+126+94+392+48+73+366+202+41+6+180+323+186+57+12+50+381+110+52+133+27+290+55+34+103+33+42+261+108+32+24+128+389+114+15+23+171+405+52+47+74+72+167+82+20+12+38+448+59+75+41+82+373+168+21+165+83+265+236+28+124+162+333+137+6+47+116+411+174+42+36+87+284+79+34+18+221+481+427+82+7+165+126+228+18+179+385+135+28+20+154+429+191+19+37+186+198+100+13+59+9+2+614+22+2+117+239+354+14+123+173+387+4+2+218+166+305+15+9+186+89+220+5+5+243+356+11+1+204+64+2+323+154+9+230+89+16+364+86+2+213+125+9.5+243+152+8+2+303+29+13.5+255+131+13+1+265+386+18.5+170+103+7+166+76+7.5+331+180+17+347+168+13+314+243+11+193+111+257+194+4+206+57+248+115+6+466+18+210+105+4+155+45+75+15+2+4+99+64+108+30+5+416+10+237+65+13+332+8+264+128+7+251+15+113+57+2+392+70+177+159+8+935+33+66+141+39+935+33+66+109+135+685+25+13+458+36+338+289+334+257+168+25+533+16+7+147+115+5+639+14+11+57+15+5+278+13+2+281+197+13+899+170+244+14+676+228+160+176+6+740+291+109+233+10+98+213+43+195+14+475+171+235+12+82+143+2+98+79+9+2821+392+4+63+179+6+298+118+282+9+66+182+13+590+585+108+177+10+115+148+7+56+189+17</f>
        <v>52715</v>
      </c>
      <c r="D8" s="194">
        <f>135100+36+52+11+7+30+29+58+14+14+21+32+38+100+12+10+25+40+86+32+25+65+35+8+35+36+25+12+56+1+122+4+152+2+1+35+2+15+102+3+10+3+3+6+77+72+10+1+30+36+1+32+9+10+3+180+8+3+57+3+52+6+3+27+13+23+30+69+2+21+5+8+8+27+3+28+6+30+79+1+8+49+8+60+5+40+13+31+13+97+35+86+42+86+35+33+65+4+49+55+8+145+1+15+60+23+86+10+59+99+112+60+35+46+33+136+11+70+1+5</f>
        <v>139307</v>
      </c>
      <c r="E8" s="194">
        <f>79486+172+58+50+88+196+69+168+336+298+400+137+70+132+80+50+20+22+241+486+174+53.5+324+329+44+377+48+431+164+58+232+116+26+116+274+336+527+4+554+177+4+166+2+2+456+72+1+297+2+260+1+229+1+40+1+5+43+3+173+3+198+360+158+1+1+53+2+6+1+3+20+35+1+2+11+4+2+87+3+9+54+12+3+333+14+35+393+4+14+88+4+115+4+9+94+3+50+3+45+5+9+12+52+13+130+155+4+13+7+10+75+2+5+1+1+92+28+32+1+32</f>
        <v>91597.5</v>
      </c>
      <c r="F8" s="194">
        <f>44048+0+0+55+235+6+7+14+45+312+11+1+1+1+2+3+2+84+8+2+12+25+3+4+2+10+2+1+20+1+6+2+26+3+7+9+1+6+5+1+2+6+29+3+6+6+3+2+8+22+2+2+5+4+3+1+8+2+4+2+4</f>
        <v>45107</v>
      </c>
      <c r="G8" s="194">
        <f>2670</f>
        <v>2670</v>
      </c>
      <c r="H8" s="194">
        <f>21213+0+0+2+2+751+1+17+2+1+1+1+3+1+1+3+1+3+3+1+3+4+1+1+4+3+1</f>
        <v>22024</v>
      </c>
      <c r="I8" s="195">
        <f>1657+625</f>
        <v>2282</v>
      </c>
      <c r="J8" s="194">
        <v>1176</v>
      </c>
      <c r="K8" s="194">
        <v>6966</v>
      </c>
      <c r="L8" s="194"/>
      <c r="M8" s="194">
        <v>110</v>
      </c>
      <c r="N8" s="194"/>
      <c r="O8" s="194"/>
      <c r="P8" s="194"/>
      <c r="Q8" s="194"/>
      <c r="R8" s="194">
        <v>2025</v>
      </c>
      <c r="S8" s="194"/>
      <c r="T8" s="194"/>
      <c r="U8" s="196">
        <f t="shared" si="0"/>
        <v>365979.5</v>
      </c>
      <c r="V8" s="197"/>
      <c r="W8" s="220"/>
    </row>
    <row r="9" spans="1:23" ht="24.95" customHeight="1">
      <c r="A9" s="193">
        <f t="shared" si="1"/>
        <v>4</v>
      </c>
      <c r="B9" s="168" t="s">
        <v>150</v>
      </c>
      <c r="C9" s="194">
        <f>16+138+511+9925+20+794+605+3+39+315+5+56+420+5+70+430+3+39+565+3+45+670+7+92+985+6+30+405+7+60+605+112+515+2+103+620+3+84+675+5+64+430+6+105+305+12+40+845+8+64+510+7+65+240+14+60+750+7+68+280+3+60+20+120+2+45+290+10+75+565+8+72+530+5+80+545+6+85+565+1+104+583+2+116+505+7+171+140+4+225+500+10+100+591+12+360+495+8+400+306+8+505+210+10+340+275+4+280+43+87+680+4+345+185+305+130+48+260+155+175+100+245+340+250+235+8+80+30</f>
        <v>35936</v>
      </c>
      <c r="D9" s="198">
        <f>31707.5+32+15+20+6+57+18+37+2+56+18+64+77+30+50+81+48+2+79+56+6+45+45</f>
        <v>32551.5</v>
      </c>
      <c r="E9" s="194">
        <f>84885.3+74+22+168+46+122+440+201+188+65+150+96+20+204+140+205+145+292+258+22+70+685+108+220+3+288+1316+50+922+924+190+195+125+410+2+749+72+310+399+327+575+351+370+435+140+190+250+12+127+68+230+59+130+26+300+214+45+130+76+76+198+33+243+80+196</f>
        <v>99662.3</v>
      </c>
      <c r="F9" s="194">
        <f>54885.8+0+12+72+55+189+62+28+130+235+2+135+25+140+8+2</f>
        <v>55980.800000000003</v>
      </c>
      <c r="G9" s="194"/>
      <c r="H9" s="194">
        <f>57470.8+184+2+3+115</f>
        <v>57774.8</v>
      </c>
      <c r="I9" s="195">
        <f>3100+4000</f>
        <v>7100</v>
      </c>
      <c r="J9" s="194">
        <v>1500</v>
      </c>
      <c r="K9" s="194">
        <f>9000+2000+6000+2000+2300</f>
        <v>21300</v>
      </c>
      <c r="L9" s="194"/>
      <c r="M9" s="194"/>
      <c r="N9" s="194"/>
      <c r="O9" s="194">
        <f>11000+2000</f>
        <v>13000</v>
      </c>
      <c r="P9" s="194"/>
      <c r="Q9" s="194">
        <f>8000+4000</f>
        <v>12000</v>
      </c>
      <c r="R9" s="194">
        <v>6000</v>
      </c>
      <c r="S9" s="194"/>
      <c r="T9" s="194"/>
      <c r="U9" s="196">
        <f t="shared" si="0"/>
        <v>342805.39999999997</v>
      </c>
      <c r="V9" s="197"/>
      <c r="W9" s="220"/>
    </row>
    <row r="10" spans="1:23" ht="24.95" customHeight="1">
      <c r="A10" s="193">
        <f t="shared" si="1"/>
        <v>5</v>
      </c>
      <c r="B10" s="168" t="s">
        <v>262</v>
      </c>
      <c r="C10" s="194">
        <f>27+10+33+12+112+119+18+6+128+1097+898+632+210+404+434+76+12+12+24+20+12+15+8+12+55+24+19+38+10+28+3+24+28+39+29+2+24+21+9+7+4+6+20+3+7+3+11+40+14+1+5+17+6+8+9+25+18+29+2+10+15+14+3+13</f>
        <v>4974</v>
      </c>
      <c r="D10" s="194">
        <f>7656+20+22+27+17+10+48+17+32+12+8+69+2+20+1+2+17+2+2+18+18+23+24+5</f>
        <v>8072</v>
      </c>
      <c r="E10" s="194">
        <f>6364+948+175+1+2+1</f>
        <v>7491</v>
      </c>
      <c r="F10" s="194">
        <f>40+201+135</f>
        <v>376</v>
      </c>
      <c r="G10" s="194"/>
      <c r="H10" s="194">
        <f>216+189+1</f>
        <v>406</v>
      </c>
      <c r="I10" s="195">
        <f>3940+5119+580</f>
        <v>9639</v>
      </c>
      <c r="J10" s="194">
        <f>5120+3500</f>
        <v>8620</v>
      </c>
      <c r="K10" s="194">
        <f>6271+7400+1000</f>
        <v>14671</v>
      </c>
      <c r="L10" s="194"/>
      <c r="M10" s="194"/>
      <c r="N10" s="194"/>
      <c r="O10" s="194"/>
      <c r="P10" s="194"/>
      <c r="Q10" s="194"/>
      <c r="R10" s="194"/>
      <c r="S10" s="194"/>
      <c r="T10" s="194"/>
      <c r="U10" s="196">
        <f t="shared" si="0"/>
        <v>54249</v>
      </c>
      <c r="V10" s="197"/>
      <c r="W10" s="186"/>
    </row>
    <row r="11" spans="1:23" ht="24.95" customHeight="1">
      <c r="A11" s="193">
        <f t="shared" si="1"/>
        <v>6</v>
      </c>
      <c r="B11" s="168" t="s">
        <v>263</v>
      </c>
      <c r="C11" s="194">
        <f>287+77+75+19+85+88+68+24+78+80+97+21+146+22+161+15+82+4+76+32+16+121+61+13+74+14+1+72+57+47+3+47+2+79+12+1+58+3+1+64+12+61+2+73+5+76+1+70+2+59+2+24+43+23+3+61+20+107+27+5+15+65+20+6+10+40+12+23+8+35+8+4+3+71+5+3+65+58+7+80+16+1+61+20+4+63+3+6+6+37+4+14+3+52+6+12+9+44+4+9+19+66+1+8+4+52+11+9+10+1+58+3+7+1+7+14+32+2+27+2+2+37+6+7+6+14+25+25+6+6+10+21+117+15+4+3+20+26+1+10+46+13+10+30+1+49+59+31+51+7+27+41+73+4+20+5+11+5+7+3+55+3+10+28+12+8+16+12+20+62+7+18+79+13+69+14+18+66+80+24+23+7+3+6+21+44+19+32+83</f>
        <v>5911</v>
      </c>
      <c r="D11" s="194">
        <f>49913+24.5+51+44+45+3+81+55+118+30+47+194+3+9+12+6+38+40+24+35+27+11+17+5+4+1+6+3+3+11.5+3.5+5+2+5+2+42+1+34+2+63+1+28+6+14+96+4+75+4+22+26+17+1+11+1+26+19+14+5+5+5+11+66+105+517+2+2+13+12+1+22+1+14+8+13+14+15+37+98+5+11</f>
        <v>52367.5</v>
      </c>
      <c r="E11" s="194">
        <f>27379+4+36+90+133+28+59+13+95+57+9+77+40+64+53+92+30+117+117+138+35+8+72+42+40+15+3+8+20.5+6+20.5+1+46+5+37+5+1+5+3+1+7+2+4+5+2+8+6.5+12+7+4+7+10+1+1+2+2+2+5+1+2</f>
        <v>29095.5</v>
      </c>
      <c r="F11" s="194">
        <f>8187+0+0+12+1+1+1+4+1+1+1+6+3+1+2+2</f>
        <v>8223</v>
      </c>
      <c r="G11" s="194"/>
      <c r="H11" s="194">
        <f>2375+0+0+15+1+1+6+1+4</f>
        <v>2403</v>
      </c>
      <c r="I11" s="195">
        <v>35</v>
      </c>
      <c r="J11" s="194">
        <v>5490</v>
      </c>
      <c r="K11" s="194"/>
      <c r="L11" s="194"/>
      <c r="M11" s="194"/>
      <c r="N11" s="194"/>
      <c r="O11" s="194"/>
      <c r="P11" s="194"/>
      <c r="Q11" s="194"/>
      <c r="R11" s="194"/>
      <c r="S11" s="194"/>
      <c r="T11" s="194"/>
      <c r="U11" s="196">
        <f t="shared" si="0"/>
        <v>103525</v>
      </c>
      <c r="V11" s="197"/>
      <c r="W11" s="264"/>
    </row>
    <row r="12" spans="1:23" ht="24.95" customHeight="1">
      <c r="A12" s="193">
        <f t="shared" si="1"/>
        <v>7</v>
      </c>
      <c r="B12" s="168" t="s">
        <v>59</v>
      </c>
      <c r="C12" s="194">
        <f>489+898+1097+632+210+404+434+241+313+888+990+629+704+353+394+683+781+609+640+543+466+682+242+398+603+135+486+670+215+5+282+632+414+557+285+273+308+323+231+239+269+241+401+234+67+213+331+68+369+87+200+100+61+306+1+105+80+101+231+70+80+80+180+100+269+92+144+278+99+67+230+20+101+268+67+100+86+163+74+94+68+147+87+58+72+262+83+49+82+190+107+69+215+58+110+54+208+81+65+191+97+242+89</f>
        <v>28189</v>
      </c>
      <c r="D12" s="194">
        <f>87194+30+25+11+5+360+8+6+30+81+40+63+12+44+35+26+12+20+75+9+12+23+20+48+22+173+113+397+52+10+37+8+104+45+283+98+241+147+32+38+15+20+23+49+20+10+152+104+33+11+7+12+47+133+55+24+57</f>
        <v>90761</v>
      </c>
      <c r="E12" s="194">
        <f>108717+444+50+20+10+143+114+1066+401+412+190+12+251+1002+399+94+689+341+212+668+335+514+114+1461+159+1414+55+289+285+304+313+908+199+49+1050+623+289+495+96+189+241+117+19+69+34+610+210+283+64+69+25+30+43+30+56+30+10+62+7+49+94+40+6+69+211+636+15+350</f>
        <v>127855</v>
      </c>
      <c r="F12" s="194">
        <f>34381+2+0+92+1+124+545+22+10+187+26152+24+860+107+2+10+1+5+2+42+24+51</f>
        <v>62644</v>
      </c>
      <c r="G12" s="194"/>
      <c r="H12" s="194">
        <f>34478+122+1+32+82+580+69+1+2+1+2+2</f>
        <v>35372</v>
      </c>
      <c r="I12" s="195"/>
      <c r="J12" s="194"/>
      <c r="K12" s="194"/>
      <c r="L12" s="194"/>
      <c r="M12" s="194"/>
      <c r="N12" s="194"/>
      <c r="O12" s="194">
        <v>1095</v>
      </c>
      <c r="P12" s="194"/>
      <c r="Q12" s="194">
        <v>200</v>
      </c>
      <c r="R12" s="194">
        <v>23402</v>
      </c>
      <c r="S12" s="194"/>
      <c r="T12" s="194"/>
      <c r="U12" s="196">
        <f t="shared" si="0"/>
        <v>369518</v>
      </c>
      <c r="V12" s="197"/>
      <c r="W12" s="264" t="s">
        <v>287</v>
      </c>
    </row>
    <row r="13" spans="1:23" ht="24.95" customHeight="1">
      <c r="A13" s="193">
        <f t="shared" si="1"/>
        <v>8</v>
      </c>
      <c r="B13" s="168" t="s">
        <v>264</v>
      </c>
      <c r="C13" s="194">
        <f>5969+212+902+118+248+330+486+858+542+1150+79+1262+106+1155+52+1131+111+1188+116+905+89+974+73+1347+89+866+63+799+66+1075+72+907+59+919+104+929+104+660+60+1152+73+842+57+657+46+399+52+597+52+293+15+193+17+717+55+848+44+38+571+463+27+777+48+730+43+1053+20+913+36+488+36+843+57+14+596+4+82+631+41+29+564+23+96+80+675+26+76+89+112+32+155+227+198+2+2+2+313.5+23.5+12+10+117+1010+55+113+943+35+46+613+23+84+826+65+547+58+137+601+10+49+692+16+37+641+25+72+1300+29+110+692+30+54+310+11+77+516+26+118+850+46+82+631+14+30+13+54+566+39+57+298+4+53+391+15</f>
        <v>55773</v>
      </c>
      <c r="D13" s="194">
        <f>136917+175+21+102+108+18+113+101+29+93+63+69+10+62+14+188+147+50+174+96+77+177+13+68+36+93+84+62+29+64+41+35+66+31+43+50+25+17+12+12+205+6+40+44+16+45+182+56+54+38+128+74+110+125+415+168+58+22+69+197+365+229+573+154+228+1+145+77+47+161+92+28+61+110+24+341+513</f>
        <v>144786</v>
      </c>
      <c r="E13" s="194">
        <f>142113+20+628+1086+452+590+595+70+60+659+141+363+89+201+155+70+369+105+149+422+239+900+1357+285+70+614+20+515+873+884+126+168+1264+615+50+228+146+215+42+745+474+25+1322+1437+108+430+453+581+1143+93+374+909+652+367+1034+290+295+30+283+194+48+145+161+210+329+114+40+133+256+65+49+604+696+467+30+14+34+122+33+98+131</f>
        <v>171966</v>
      </c>
      <c r="F13" s="194">
        <f>57944+0+348+72+28+80+58+40+40+120+220+60+60+62+90+3+3+42+994+556+88+4+12+62+250+120+365+419+132+27+49</f>
        <v>62348</v>
      </c>
      <c r="G13" s="194"/>
      <c r="H13" s="194">
        <f>56661+0+0+248+8+145+2+25+18+6+47+47</f>
        <v>57207</v>
      </c>
      <c r="I13" s="195">
        <v>6968</v>
      </c>
      <c r="J13" s="194">
        <v>8144</v>
      </c>
      <c r="K13" s="194">
        <v>9439</v>
      </c>
      <c r="L13" s="194"/>
      <c r="M13" s="194">
        <v>1630</v>
      </c>
      <c r="N13" s="194"/>
      <c r="O13" s="194">
        <v>4405</v>
      </c>
      <c r="P13" s="194"/>
      <c r="Q13" s="194">
        <v>10082</v>
      </c>
      <c r="R13" s="194"/>
      <c r="S13" s="194"/>
      <c r="T13" s="194"/>
      <c r="U13" s="196">
        <f t="shared" si="0"/>
        <v>532748</v>
      </c>
      <c r="V13" s="197"/>
      <c r="W13" s="220"/>
    </row>
    <row r="14" spans="1:23" ht="24.95" customHeight="1">
      <c r="A14" s="193">
        <f t="shared" si="1"/>
        <v>9</v>
      </c>
      <c r="B14" s="168" t="s">
        <v>85</v>
      </c>
      <c r="C14" s="194">
        <f>570+697+726+624+671+609+259+222+113+491+479+414+9+633+7+686+1+4+767+3+7+829+7+5+555+5+626+1+690+4+606+1+322+2+444+2+7+342+5+4+238+1+238+3+414+565+288+483+171+174+445+719+261+482+2+2+682+4+2+441+11+2+78+8+1+30+536+7+4+472+1+1+881+5+6+37+915+2+4+37+704+7+4+33+599+20+545+50+392+5+4+56+484+6+4+91+525+77+514+5+73+366+11+8+116+195+11+125+125+57+27+5+55+102+35+1+48+311+14+8+104+218+10+5+76+389+14+7+53+87+197+14+7+138+235+132+217+338+45+98+309+5+4+31+575+434+2+380+329+14+300+12+477+422+505+8+489+549+267+597+529+326+323+261+277</f>
        <v>36729</v>
      </c>
      <c r="D14" s="194">
        <f>1809+42+386+78+51+33+40+12+41+23+40+1+18+37+9+20+19+18+30+30+42+54+48+11+31+60+30+128+22+57+15+28+660+853+102+50+21+62+49+225+3+49+2+2+12+94+4+2+393+3+6+5+73+10+20+6+197+14+7+23+33+78+174+15+54+93+78+126+167+57+23+45+180</f>
        <v>7333</v>
      </c>
      <c r="E14" s="194">
        <f>3302+152+336+60+120+60+131+148+86+20+228+340+90+225+40+37+128+8+21+18+781+876+1+90+81+70+282+386+10+522+480+258+603+48+107+78+70+10+186+85+228+285+354+535+519+192+430+606+860+11+124+170+1514+5+7+1+5+7+8+72+5+5+238+222+38+10+47+36+34+34+48+6+254+49+28+534+369</f>
        <v>18464</v>
      </c>
      <c r="F14" s="194">
        <f>826+290+99+5+50+1+5+5+3+2+3+3+1+3+8+192</f>
        <v>1496</v>
      </c>
      <c r="G14" s="194"/>
      <c r="H14" s="194">
        <f>30+54+1+2+3+3+7+2+27+4+4</f>
        <v>137</v>
      </c>
      <c r="I14" s="195"/>
      <c r="J14" s="194"/>
      <c r="K14" s="194"/>
      <c r="L14" s="194"/>
      <c r="M14" s="194"/>
      <c r="N14" s="194"/>
      <c r="O14" s="194"/>
      <c r="P14" s="194"/>
      <c r="Q14" s="194"/>
      <c r="R14" s="194"/>
      <c r="S14" s="194">
        <v>1600</v>
      </c>
      <c r="T14" s="194">
        <v>800</v>
      </c>
      <c r="U14" s="196">
        <f t="shared" si="0"/>
        <v>66559</v>
      </c>
      <c r="V14" s="197"/>
      <c r="W14" s="264"/>
    </row>
    <row r="15" spans="1:23" ht="24.95" customHeight="1">
      <c r="A15" s="193">
        <f t="shared" si="1"/>
        <v>10</v>
      </c>
      <c r="B15" s="168" t="s">
        <v>94</v>
      </c>
      <c r="C15" s="194">
        <f>540+682+1058+580+9.5+70.5+43+13.5+11+11.5+15+23.5+18+27+18+10+42+51+41+36+20+88+6+28+222+275+598+6+215+12+154+34+60+12+50+13+102+21+72+28+32+16+34+45+150+28+134+7+42+43+20+136+30+68+32+42+31+66+40+47+42+72+24+90+36+70+12+109+36+178+94+33+83+85+241+136+28+409+110+395+98+5+575+32+106+323+33+376+517+33+203+1+330+51+79+350+4+46+65+4+114+533+53+30+8+417+62+323+332+198+27+162+117+435+50+14+253+394+30+286+4+291+437+45+294+27+11+422+627+17+163+14+6+297+109+298+33+282+72+312+34+334+124+379+74+81+353+74+10+115+58+414+46+11+303+36+243+43+355+42+323+38+10+437+48+317+68+136+318+52+15+296+8+252+93+302+47+16+364+98+294+25+44+216+31+609</f>
        <v>27058.5</v>
      </c>
      <c r="D15" s="194">
        <f>117487+240+21+105+34+40+35+96+50+12+126+199+123+176+372+80+96+84+48+190+5+3+2+1+1+1+853+8+64+82+187+18+39+4+40+3+62+2+56+2+48+1+8+86+7+21+90+4+143+33+8+5+163+4+24+10+73+4+34+33+11+15+108+8+53+26+21+15+1+98+1+2+63+48+138+173+31+22+20+9+30+8+42+68+51+35</f>
        <v>122943</v>
      </c>
      <c r="E15" s="194">
        <f>91592+222+50+387+476+204+238+90+54+185+114+378+216+372+60+96+666+144+282+8+31+3+1+5+2+1+3+15+203+3+90+6+5+86+8+64+40+2+27+6+484+10+11+174+1+5+69+6+231+18+22+311+21+360+20+121+10+293+13+26+1+119+5+3+204+26+203+4+77+287+60+27+160+12+543+78+285+10+50+32+4+160+8+93+12+222+6</f>
        <v>101332</v>
      </c>
      <c r="F15" s="194">
        <f>2+9+20+12+9+6+18+8+1+6+3+3+67+2+7+3+5+4+1+2+10.5+8+7+185+4+6.5+2+5+16+7+15+7+8+260+6+1+7+4+9+6+1+6+1+1+5+10</f>
        <v>786</v>
      </c>
      <c r="G15" s="194"/>
      <c r="H15" s="194">
        <f>5563+3+1+3+8+4+3+8+3+3+2+3+1.5+2+1+9+2+1+4+12+1</f>
        <v>5637.5</v>
      </c>
      <c r="I15" s="195"/>
      <c r="J15" s="194"/>
      <c r="K15" s="194"/>
      <c r="L15" s="194"/>
      <c r="M15" s="194"/>
      <c r="N15" s="194"/>
      <c r="O15" s="194"/>
      <c r="P15" s="194"/>
      <c r="Q15" s="194"/>
      <c r="R15" s="194"/>
      <c r="S15" s="194"/>
      <c r="T15" s="194"/>
      <c r="U15" s="196">
        <f t="shared" si="0"/>
        <v>257757</v>
      </c>
      <c r="V15" s="197"/>
      <c r="W15" s="222"/>
    </row>
    <row r="16" spans="1:23" ht="24.95" customHeight="1">
      <c r="A16" s="193">
        <f t="shared" si="1"/>
        <v>11</v>
      </c>
      <c r="B16" s="168" t="s">
        <v>265</v>
      </c>
      <c r="C16" s="194">
        <f>43+20+6+12+6+89+39+82+41+60+24+50+34+57+23+51+16+35+41+62+25+39+11+70+32+96+26+102+65+174+43+79+6+61+39+87+25+68+16+16+78+65+106+5+25+25+42+13+1+8+128+6+4+5+69+33+209+50+185+21+8+86+6+26+213+7+24+180+7+22+13+102+57+23+18+94+67+3+43+196+94+9+193+77+22+420+17+84+16+15+92+16+12+78+26+47+19+73+22+1+27+123+15+64+73+44+125+16+141+25+111+16+37+11+74+9+49+25+87+21+217+13+107+19+22+121+24+57+45+130+23+39+287+18+81+5+16+89+13+29+49+10+73+15+20+195+30+26+93+8+2+128+14+64+102+3+1+16+112+11</f>
        <v>8897</v>
      </c>
      <c r="D16" s="194">
        <f>85917+72+48+30+75+22+6+3+3+3+2+19+13+8+31+4+2+1+3+1+12+2+1+22+4+50+18+16+30+20+12+32+1+2+2+41+2+7+47+15+4+23+3+2+44+11+21</f>
        <v>86707</v>
      </c>
      <c r="E16" s="194">
        <f>48329+(110+486)+0+0+10+1+2+2+13+6+2+14+7+16+5+4+340+10+398+58+16+18+2+2+94+86+2+17+46+10+1+2+3+1+5+2+1+2+55+62</f>
        <v>50240</v>
      </c>
      <c r="F16" s="194">
        <f>53147+0+0+0+1+4+2+1+3+2+13+7+2+4+4+5+4+6+2+2+2+2+1+3+1+1</f>
        <v>53219</v>
      </c>
      <c r="G16" s="194">
        <f>1127+0+0+0</f>
        <v>1127</v>
      </c>
      <c r="H16" s="194">
        <f>21543+2+20+0+1+7+2+1</f>
        <v>21576</v>
      </c>
      <c r="I16" s="195">
        <f>5077+0+0+1+1+1+1+2</f>
        <v>5083</v>
      </c>
      <c r="J16" s="194">
        <f>1355+0+0+6</f>
        <v>1361</v>
      </c>
      <c r="K16" s="194">
        <f>6189+0+0</f>
        <v>6189</v>
      </c>
      <c r="L16" s="194"/>
      <c r="M16" s="194">
        <f>1849+0+0</f>
        <v>1849</v>
      </c>
      <c r="N16" s="194"/>
      <c r="O16" s="194">
        <f>2443+0+0</f>
        <v>2443</v>
      </c>
      <c r="P16" s="194"/>
      <c r="Q16" s="194"/>
      <c r="R16" s="194">
        <v>3295</v>
      </c>
      <c r="S16" s="194"/>
      <c r="T16" s="194"/>
      <c r="U16" s="196">
        <f t="shared" si="0"/>
        <v>241986</v>
      </c>
      <c r="V16" s="197"/>
      <c r="W16" s="186"/>
    </row>
    <row r="17" spans="1:41" ht="24.95" customHeight="1">
      <c r="A17" s="193">
        <f t="shared" si="1"/>
        <v>12</v>
      </c>
      <c r="B17" s="168" t="s">
        <v>141</v>
      </c>
      <c r="C17" s="194">
        <f>2528+3+176+119+151+133+56+94+53+75+49+421+858+104+7+2+54+12+154+40+5+2+70+15+892+77+8+2+132+5+550+58+2+28+4+877+100+5+2+35+4+608+5+2+52+4+763+6+64+89+2+12+694+112+3+52+9+677+74+3+1+6+574+84+930+114+2+67+5+763+120+739+118+5+2+35+6+638+86+485+29+1+32+5+159+16+1+46+7+736+84+6+12+2+802+102+16+2+283+30+13+273+39+7+16+870+122+4+12+2+834+3+621+4+413+13+12+664+5+7+593+4+10+355+4+12+429+5+2+114+311+1+2+36+483+6+12+26+480+3+12+37+447+7+12+532+4+14+124+499+659+579+173+65+235+87+311+211+54+69+74+771+363+428.5+63+687+743+619+567+605+620+712+550+611+604+188+205+130+684+604+573+450+656+37+31+401</f>
        <v>41273.5</v>
      </c>
      <c r="D17" s="194">
        <f>80228+150+103+63+85+32+20+18+128+12+98+12+20+23+27+55+43+61+88+106+42+29+46+35+19+62+10+25+33+45+30+65+88+44+47+91+176+8+75+3+100+30+61+72+42+20+108+95+162+79+125+133+196+111+120+18+66+57+351+329+8+92+139+65+144+90+594+40+122+174+139+238+22+148+59+77+545+213+123+20+86</f>
        <v>87758</v>
      </c>
      <c r="E17" s="194">
        <f>115582+28+20+678+118+246+465+26+315+256+98+130+335+325+225+184+48+95+186+165+344+15+55+236+45+125+70+49+573+460+1356+268+610+906+79+550+285+20+475+10+10+911+253+152+760+498+410+59+20+786+74+122+115+49+54+43+28+68+513+194+54+500+51+144+167+46+334+12+108+260+17+293+10+108</f>
        <v>133279</v>
      </c>
      <c r="F17" s="194">
        <f>9478+14448+7898+21+322+8323+3+11+3+94+38+192+13+175+120+48</f>
        <v>41187</v>
      </c>
      <c r="G17" s="194"/>
      <c r="H17" s="194">
        <f>5087+17476+12805+52+0+7625+92+60+571</f>
        <v>43768</v>
      </c>
      <c r="I17" s="195"/>
      <c r="J17" s="194"/>
      <c r="K17" s="194"/>
      <c r="L17" s="194"/>
      <c r="M17" s="194"/>
      <c r="N17" s="194"/>
      <c r="O17" s="194"/>
      <c r="P17" s="194"/>
      <c r="Q17" s="194"/>
      <c r="R17" s="194"/>
      <c r="S17" s="194"/>
      <c r="T17" s="194"/>
      <c r="U17" s="196">
        <f t="shared" si="0"/>
        <v>347265.5</v>
      </c>
      <c r="V17" s="197"/>
      <c r="W17" s="222"/>
      <c r="AO17" s="166" t="s">
        <v>228</v>
      </c>
    </row>
    <row r="18" spans="1:41" ht="24.95" customHeight="1">
      <c r="A18" s="193">
        <f t="shared" si="1"/>
        <v>13</v>
      </c>
      <c r="B18" s="168" t="s">
        <v>266</v>
      </c>
      <c r="C18" s="194">
        <f>192+305+294+372+231+27+354+153+42+295+256+157+275+15+75+14+379+66+222+65+244+12+87+197+12+159+177+39+181+184+15+137+201+28+61+249+4+194+196+12.5+220+12+189+5+147+10+128+87+209+16+158+16+131+196+210+18+147+18+153+121+3+149+62+12+144+67+142+7+52+6+269+43+189+50+82+95+298+62+209+71+141+42+22+35+225+60+4+20+242+36+21+89+214+87+24+252+53+22+16+200+22+17+46+114+44+39+36+134+96+59+117+81+7+55+133+125+12+41+106+93+13+34+115+210+27+30+166+505+38+81+203+17+34+155+125+40+209+79+33+6+233+129+1+145+74+24+35+265+302+5+161+187+54+99+234+208+24+40+68+230+108+38+154+163+38+30+204+88+6+281+227+66+22+262+31+7+33+33+16+256+18+135+223+77+35+160+223+141+244+29+196+229+23+73+266+61+199+21+283+13+41+215+10+117+251+196+22+164+67+3+220+292+14+299+262+24+116+14+14+309+22+305+17+5+256+14+398+197+20+143+23+15+12+399</f>
        <v>27389.5</v>
      </c>
      <c r="D18" s="194">
        <f>51477+76+58+42+81+15+140+59+71+45+53+51+141+27+55+16+30+58+54+43+17+23+52+36+38+35+44+46+88+170+27+57+10+28+60+9+26+3+10+5+28+17+3+120+39+4+11+8+7+9+10+5+4+1+18+1+14+4+1+10+3+3+10+1+45+3+1+1+3+45+2+1+5+1+3+4+8+122+1+9+58+2+9+37+24+79+7+17+18+8+10+57+21+1+41+2+1+9+15+63+85+88+6+10+1+105+15+47+68+1+5+4+1+12+7+35+8+7+4</f>
        <v>54949</v>
      </c>
      <c r="E18" s="194">
        <f>37606+46+90+47+104+276+221+880+35+56+117+30+120+588+30+310+160+348+249+42+165+42+650+1540+84+206+155+260+465+23+295+58+525+100+200+12+60+6+11+10+3+8+4+12+2+42+7+30+1+3+1+1+4+14+2+5+4+6+117+2+8+10+2+1+25+1+48+9+48+2+211+8+75+20+109+9+4+36+3+7+28+18+5+56+446+27+3+18+56+1+256+2+93+1+4+26+11+4+20+1+297+171+51+9+45+3+3+30+2+32+3+57+20</f>
        <v>48925</v>
      </c>
      <c r="F18" s="194">
        <f>15983+0+148+64+30+440+4+430+167+5+2+21+4+5+1+1+2+4+13+5+4.5+7+1+9+2+3+21+8+1+5+1+2+8+3+1+1+3+2+5+23+8+1+4+1+37+330+16+1+1+4+47+5+2+2+5+2+4+7+1+2+6+2+4+5+5+1+1</f>
        <v>17943.5</v>
      </c>
      <c r="G18" s="194"/>
      <c r="H18" s="194">
        <f>23505+0+0+10+275+215+1+6+6+9+1+1+2+2.5+3+1+1+1+7+3+1+2+2+2+3+7+3+1+18+26+38+36+52+12+330+4+5+1+2+36+15+2+84+3+1+9</f>
        <v>24744.5</v>
      </c>
      <c r="I18" s="195" t="s">
        <v>377</v>
      </c>
      <c r="J18" s="194">
        <v>990</v>
      </c>
      <c r="K18" s="194">
        <v>1080</v>
      </c>
      <c r="L18" s="194">
        <v>1080</v>
      </c>
      <c r="M18" s="194">
        <v>1985</v>
      </c>
      <c r="N18" s="194"/>
      <c r="O18" s="194">
        <v>705</v>
      </c>
      <c r="P18" s="194"/>
      <c r="Q18" s="194">
        <v>1210</v>
      </c>
      <c r="R18" s="194">
        <v>12588</v>
      </c>
      <c r="S18" s="194">
        <v>4901</v>
      </c>
      <c r="T18" s="194"/>
      <c r="U18" s="196">
        <f t="shared" si="0"/>
        <v>198490.5</v>
      </c>
      <c r="V18" s="197"/>
      <c r="W18" s="264"/>
    </row>
    <row r="19" spans="1:41" ht="24.95" customHeight="1">
      <c r="A19" s="193">
        <f t="shared" si="1"/>
        <v>14</v>
      </c>
      <c r="B19" s="168" t="s">
        <v>189</v>
      </c>
      <c r="C19" s="194">
        <f>623+36+1+68.5+526+211.5+22.5+37+11+39+53+126+220+126+219+6+168+85+150+6+114+77+456+12+93+57+6+72+96+32+21+6+40+80+156+164+45+16+294.5+70+3+78+99.5+92+8+80+216+105+6+290+96+108+124+180+3+81+180+59+2+64+264+124+1+130+152+97+115+60+48+1+12+44+192+227+81+6+174+2+79+7+294+1+107+5+107+1+115+3+6+175+1+139+25+90+3+79+3+78+4+62+2+72+6+115+6+197+76+8+84+2+77+5+2+160+4+90+6+49+5+83+4+263+201+2+45+85+13+4+111+5+6+14+12+177+2+8+201+32+170+302+4+114+164+137+276+212+74+4+162+7+368+412+56+183+21+328+89+16+373+5+139+26+196+139+27+198+420+18+42</f>
        <v>16546.5</v>
      </c>
      <c r="D19" s="194">
        <f>42361.53+46+36+24+14+26+6+18+64+5+12+9+4+12+7+21+17+4+2+2+4+6+6+21+2+3+3+8+4+23+3+5+5+2+6+64+20+12+96+12+4+5+5+1+7+18</f>
        <v>43035.53</v>
      </c>
      <c r="E19" s="199">
        <f>30577.26+240+30+293+19+2+155+63+15+1540+14+1+1+6+11+18+15+7+28+4+12+13+8+2+8+5+12+2+3+14+18+2+2+6+3+17+11+1+1+3+6+19+5+4+15+10+25+1+8+5+2</f>
        <v>33282.259999999995</v>
      </c>
      <c r="F19" s="194">
        <f>16065.5+22+2+18+440+22+12+24+7+3+12+1+1+10+11+7+8+8+301+6+4+1+2+3+2+1+2+1+5+5+3+13+6+1+5+5+12+5+2</f>
        <v>17058.5</v>
      </c>
      <c r="G19" s="194"/>
      <c r="H19" s="194">
        <f>16138.71+77+275+1+2+160+1+6+2+6+1+2+2+3+1+1+4+3+1+1+1+5+9+2+2</f>
        <v>16706.71</v>
      </c>
      <c r="I19" s="195">
        <f>2440.26</f>
        <v>2440.2600000000002</v>
      </c>
      <c r="J19" s="194" t="s">
        <v>376</v>
      </c>
      <c r="K19" s="194"/>
      <c r="L19" s="194"/>
      <c r="M19" s="194"/>
      <c r="N19" s="194"/>
      <c r="O19" s="194">
        <v>1356.53</v>
      </c>
      <c r="P19" s="194">
        <v>4332.34</v>
      </c>
      <c r="Q19" s="194">
        <v>1757.73</v>
      </c>
      <c r="R19" s="194"/>
      <c r="S19" s="194"/>
      <c r="T19" s="194"/>
      <c r="U19" s="196">
        <f t="shared" si="0"/>
        <v>136516.36000000002</v>
      </c>
      <c r="V19" s="197"/>
      <c r="W19" s="186"/>
    </row>
    <row r="20" spans="1:41" ht="24.95" customHeight="1">
      <c r="A20" s="193">
        <f t="shared" si="1"/>
        <v>15</v>
      </c>
      <c r="B20" s="168" t="s">
        <v>267</v>
      </c>
      <c r="C20" s="194">
        <f>230+25+8+497+1265+200+120+46+20+131+7+35+38+196+25+23+113+28+12+15+165+18+7+183+28+14+181+38+14+16+37+108+48+12+29+39+132+41+15+29+35+12+89+12+23+6+118+16+18+47+65+12+111+5+6+46+28+180+18+108+84+5+6+36+61+11+37+232+19+11+137+7+152+18+44+5+27+11+122+5+56+24+23+1+234+8+6+15+11+204+24+4+12+133+2+13+167+29+13+128+6+13+92+9+140+22+34+4+62+8+26+6+184+15+235+31+25+7+105+19+127+30+298+1+24+107+4+60+29+80+10+87+3.5+16.5+190+70+154+26+5+2+172+60+4+158+18+14+18+175+60+111+8+99+12+168+28+45+11+37+6+43+4+85+5+23+85+9+3+134+3+155+125+30+40+87+29+28+6+64+16+1+74+11+3+69+5+485+80+10+2+1+221+14+100+20+133+19+63+80+35+2+59+27+225+9.5+51+1+112+9+1+39+6+162+23+45+8+206+7+6+35+32+125+1.5+100+38+25+3+28.5+149+12+25+119+7+105+216+7+25+22+114+4+52+69+1+181+3+190+65+82+2+342+8+185+6+203+130+143+192+217</f>
        <v>17513.5</v>
      </c>
      <c r="D20" s="194">
        <f>33238+12+10+30+33+17+17+10+1+1+1+1+1+14+1+4+4+12+26+1+2+1+1+7+1+1+3+45+1+6+2+3+8+3+131+70+84+1+65+7+96+40+8+69+55+43+32+76</f>
        <v>34295</v>
      </c>
      <c r="E20" s="194">
        <f>48118+90+380+62+52+148+50+78+20+40+119+1+34+372+142+24+1+16+59+38+65+1+33+20+6+188+10+5+487+20+18+2+209+4+15+1+10+1+9+2+2+329+5+3+3+3+60+6+22+5+2+15+1+98+2+1+8+12+72+14+66+4+1+3+1+2+5+11+1028+123+57+3+48+538+15+10+55+36+324</f>
        <v>53943</v>
      </c>
      <c r="F20" s="194">
        <f>22414+80+0+1+72+216+4+2+170+3+1+13+3+3+3+6+3+10+1+22+11+1+20+30+4+3+2+359+2+2+1+2+4+2+5+8+1+1+11+19+60+4+2+1+2+4+4+1+2+255+1+3</f>
        <v>23854</v>
      </c>
      <c r="G20" s="194"/>
      <c r="H20" s="194">
        <f>13514+0+0+150+1+1+3+6+134+6+1+732+4+3+1+1+2+2+3+1+1+77+2+1</f>
        <v>14646</v>
      </c>
      <c r="I20" s="195">
        <v>2050</v>
      </c>
      <c r="J20" s="194"/>
      <c r="K20" s="194">
        <v>3295</v>
      </c>
      <c r="L20" s="194"/>
      <c r="M20" s="194">
        <v>645</v>
      </c>
      <c r="N20" s="194"/>
      <c r="O20" s="194">
        <v>645</v>
      </c>
      <c r="P20" s="194"/>
      <c r="Q20" s="194">
        <v>3180</v>
      </c>
      <c r="R20" s="194"/>
      <c r="S20" s="194"/>
      <c r="T20" s="194"/>
      <c r="U20" s="196">
        <f t="shared" si="0"/>
        <v>154066.5</v>
      </c>
      <c r="V20" s="200"/>
      <c r="W20" s="264"/>
    </row>
    <row r="21" spans="1:41" ht="24.95" customHeight="1">
      <c r="A21" s="193">
        <f t="shared" si="1"/>
        <v>16</v>
      </c>
      <c r="B21" s="168" t="s">
        <v>268</v>
      </c>
      <c r="C21" s="194"/>
      <c r="D21" s="194"/>
      <c r="E21" s="194"/>
      <c r="F21" s="194"/>
      <c r="G21" s="194"/>
      <c r="H21" s="194"/>
      <c r="I21" s="195">
        <v>12400</v>
      </c>
      <c r="J21" s="194">
        <v>14000</v>
      </c>
      <c r="K21" s="194">
        <f>50700+6400+3000</f>
        <v>60100</v>
      </c>
      <c r="L21" s="194">
        <v>17400</v>
      </c>
      <c r="M21" s="194">
        <v>2600</v>
      </c>
      <c r="N21" s="194">
        <v>11200</v>
      </c>
      <c r="O21" s="194">
        <v>15400</v>
      </c>
      <c r="P21" s="194"/>
      <c r="Q21" s="194"/>
      <c r="R21" s="194"/>
      <c r="S21" s="194"/>
      <c r="T21" s="194"/>
      <c r="U21" s="196">
        <f t="shared" si="0"/>
        <v>133100</v>
      </c>
      <c r="V21" s="201"/>
      <c r="W21" s="186"/>
      <c r="AO21" s="166" t="s">
        <v>282</v>
      </c>
    </row>
    <row r="22" spans="1:41" ht="24.95" customHeight="1" thickBot="1">
      <c r="A22" s="193">
        <f t="shared" si="1"/>
        <v>17</v>
      </c>
      <c r="B22" s="169" t="s">
        <v>269</v>
      </c>
      <c r="C22" s="202"/>
      <c r="D22" s="202"/>
      <c r="E22" s="202"/>
      <c r="F22" s="202"/>
      <c r="G22" s="202"/>
      <c r="H22" s="202"/>
      <c r="I22" s="203">
        <v>680</v>
      </c>
      <c r="J22" s="202"/>
      <c r="K22" s="202">
        <f>700+680</f>
        <v>1380</v>
      </c>
      <c r="L22" s="202"/>
      <c r="M22" s="202"/>
      <c r="N22" s="202"/>
      <c r="O22" s="202">
        <f>4850</f>
        <v>4850</v>
      </c>
      <c r="P22" s="202"/>
      <c r="Q22" s="202"/>
      <c r="R22" s="202">
        <f>8500-6000</f>
        <v>2500</v>
      </c>
      <c r="S22" s="202">
        <v>24000</v>
      </c>
      <c r="T22" s="202"/>
      <c r="U22" s="196">
        <f t="shared" si="0"/>
        <v>33410</v>
      </c>
      <c r="V22" s="204"/>
      <c r="W22" s="186"/>
      <c r="AO22" s="166" t="s">
        <v>283</v>
      </c>
    </row>
    <row r="23" spans="1:41" ht="24.95" customHeight="1" thickBot="1">
      <c r="A23" s="205"/>
      <c r="B23" s="170" t="s">
        <v>270</v>
      </c>
      <c r="C23" s="206">
        <f t="shared" ref="C23:T23" si="2">SUM(C6:C22)</f>
        <v>402527.5</v>
      </c>
      <c r="D23" s="206">
        <f t="shared" si="2"/>
        <v>1124248.03</v>
      </c>
      <c r="E23" s="206">
        <f t="shared" si="2"/>
        <v>1143043.56</v>
      </c>
      <c r="F23" s="206">
        <f t="shared" si="2"/>
        <v>491142.3</v>
      </c>
      <c r="G23" s="206">
        <f t="shared" si="2"/>
        <v>3797</v>
      </c>
      <c r="H23" s="206">
        <f t="shared" si="2"/>
        <v>382461.51</v>
      </c>
      <c r="I23" s="206">
        <f t="shared" si="2"/>
        <v>48682.26</v>
      </c>
      <c r="J23" s="206">
        <f t="shared" si="2"/>
        <v>41281</v>
      </c>
      <c r="K23" s="206">
        <f t="shared" si="2"/>
        <v>124420</v>
      </c>
      <c r="L23" s="206">
        <f t="shared" si="2"/>
        <v>18480</v>
      </c>
      <c r="M23" s="206">
        <f t="shared" si="2"/>
        <v>8819</v>
      </c>
      <c r="N23" s="206">
        <f t="shared" si="2"/>
        <v>11200</v>
      </c>
      <c r="O23" s="206">
        <f t="shared" si="2"/>
        <v>43899.53</v>
      </c>
      <c r="P23" s="206">
        <f t="shared" si="2"/>
        <v>4332.34</v>
      </c>
      <c r="Q23" s="206">
        <f t="shared" si="2"/>
        <v>28429.73</v>
      </c>
      <c r="R23" s="206">
        <f t="shared" si="2"/>
        <v>49810</v>
      </c>
      <c r="S23" s="206">
        <f t="shared" si="2"/>
        <v>30501</v>
      </c>
      <c r="T23" s="206">
        <f t="shared" si="2"/>
        <v>800</v>
      </c>
      <c r="U23" s="206">
        <f>U22+U21+U20+U19+U18+U17+U16+U15+U14+U13+U12+U11+U10+U9+U8+U7+U6</f>
        <v>3957874.76</v>
      </c>
      <c r="V23" s="207"/>
      <c r="W23" s="187"/>
      <c r="X23" s="188"/>
      <c r="AO23" s="166" t="s">
        <v>228</v>
      </c>
    </row>
    <row r="24" spans="1:41">
      <c r="C24" s="171"/>
      <c r="D24" s="171"/>
      <c r="E24" s="171"/>
      <c r="F24" s="171"/>
      <c r="G24" s="171"/>
      <c r="H24" s="171"/>
      <c r="I24" s="171"/>
      <c r="J24" s="171"/>
      <c r="K24" s="171"/>
      <c r="L24" s="171"/>
      <c r="M24" s="171"/>
      <c r="N24" s="171"/>
      <c r="O24" s="171"/>
      <c r="P24" s="171"/>
      <c r="Q24" s="171"/>
      <c r="R24" s="171"/>
      <c r="S24" s="171"/>
      <c r="T24" s="171"/>
      <c r="U24" s="171"/>
      <c r="V24" s="171"/>
    </row>
    <row r="25" spans="1:41" ht="24.95" customHeight="1">
      <c r="A25" s="429"/>
      <c r="B25" s="429"/>
      <c r="C25" s="429"/>
      <c r="D25" s="429"/>
      <c r="E25" s="429"/>
      <c r="F25" s="429"/>
      <c r="G25" s="429"/>
      <c r="H25" s="429"/>
      <c r="I25" s="429"/>
      <c r="J25" s="429"/>
      <c r="K25" s="429"/>
      <c r="L25" s="429"/>
      <c r="M25" s="429"/>
      <c r="N25" s="429"/>
      <c r="O25" s="429"/>
      <c r="P25" s="429"/>
      <c r="Q25" s="429"/>
      <c r="R25" s="429"/>
      <c r="S25" s="429"/>
      <c r="T25" s="429"/>
      <c r="U25" s="429"/>
      <c r="V25" s="429"/>
      <c r="W25" s="172"/>
      <c r="X25" s="173">
        <f>(0.4+0.36+0.4+0.32+0.26+0.32+0.3+0.25+0.3)/9</f>
        <v>0.32333333333333331</v>
      </c>
      <c r="AO25" s="166" t="s">
        <v>228</v>
      </c>
    </row>
    <row r="26" spans="1:41" ht="24.95" customHeight="1">
      <c r="A26" s="430"/>
      <c r="B26" s="431"/>
      <c r="C26" s="431"/>
      <c r="D26" s="431"/>
      <c r="E26" s="431"/>
      <c r="F26" s="431"/>
      <c r="G26" s="431"/>
      <c r="H26" s="431"/>
      <c r="I26" s="431"/>
      <c r="J26" s="431"/>
      <c r="K26" s="431"/>
      <c r="L26" s="431"/>
      <c r="M26" s="431"/>
      <c r="N26" s="431"/>
      <c r="O26" s="431"/>
      <c r="P26" s="431"/>
      <c r="Q26" s="431"/>
      <c r="R26" s="431"/>
      <c r="S26" s="431"/>
      <c r="T26" s="431"/>
      <c r="U26" s="431"/>
      <c r="V26" s="431"/>
      <c r="W26" s="172"/>
      <c r="X26" s="173"/>
    </row>
    <row r="28" spans="1:41">
      <c r="C28" s="174"/>
      <c r="D28" s="174"/>
      <c r="E28" s="174"/>
      <c r="F28" s="174"/>
      <c r="G28" s="174"/>
      <c r="H28" s="174"/>
      <c r="I28" s="174"/>
      <c r="J28" s="174"/>
      <c r="K28" s="174"/>
      <c r="L28" s="174"/>
      <c r="M28" s="174"/>
      <c r="N28" s="174"/>
      <c r="O28" s="174"/>
      <c r="P28" s="174"/>
      <c r="Q28" s="174"/>
      <c r="R28" s="174"/>
      <c r="S28" s="174"/>
      <c r="T28" s="174"/>
      <c r="U28" s="174"/>
    </row>
    <row r="30" spans="1:41">
      <c r="F30" s="166" t="s">
        <v>195</v>
      </c>
    </row>
    <row r="44" spans="41:41">
      <c r="AO44" s="176"/>
    </row>
    <row r="54" spans="3:41">
      <c r="C54" s="166">
        <v>433</v>
      </c>
      <c r="D54" s="166">
        <v>506</v>
      </c>
      <c r="E54" s="166">
        <v>550</v>
      </c>
      <c r="F54" s="166">
        <v>617</v>
      </c>
      <c r="G54" s="166">
        <v>577</v>
      </c>
      <c r="H54" s="166">
        <v>762</v>
      </c>
      <c r="I54" s="166">
        <v>524</v>
      </c>
      <c r="J54" s="166">
        <v>503</v>
      </c>
      <c r="M54" s="166">
        <v>481</v>
      </c>
      <c r="O54" s="166">
        <v>332</v>
      </c>
      <c r="AO54" s="166" t="s">
        <v>228</v>
      </c>
    </row>
    <row r="58" spans="3:41">
      <c r="C58" s="166">
        <v>2627</v>
      </c>
      <c r="D58" s="166">
        <v>1776</v>
      </c>
      <c r="F58" s="166">
        <v>1883</v>
      </c>
      <c r="G58" s="166">
        <v>1874</v>
      </c>
      <c r="H58" s="166">
        <v>3471</v>
      </c>
      <c r="I58" s="166">
        <v>1646</v>
      </c>
      <c r="J58" s="166">
        <v>2082</v>
      </c>
      <c r="K58" s="166">
        <v>2431</v>
      </c>
      <c r="L58" s="166">
        <v>1333</v>
      </c>
      <c r="M58" s="166">
        <v>2411</v>
      </c>
      <c r="N58" s="166">
        <v>597</v>
      </c>
      <c r="P58" s="166">
        <v>3423</v>
      </c>
      <c r="Q58" s="166">
        <v>1709</v>
      </c>
      <c r="R58" s="166">
        <v>1629</v>
      </c>
      <c r="AO58" s="166" t="s">
        <v>282</v>
      </c>
    </row>
    <row r="60" spans="3:41">
      <c r="C60" s="166">
        <v>1367</v>
      </c>
      <c r="D60" s="166">
        <v>2726</v>
      </c>
      <c r="E60" s="166">
        <v>1589</v>
      </c>
      <c r="F60" s="166">
        <v>388</v>
      </c>
      <c r="G60" s="166">
        <v>1710</v>
      </c>
      <c r="H60" s="166">
        <v>1242</v>
      </c>
      <c r="J60" s="166">
        <v>1556</v>
      </c>
      <c r="K60" s="166">
        <v>769</v>
      </c>
      <c r="L60" s="166">
        <v>4185</v>
      </c>
      <c r="M60" s="166">
        <v>4047</v>
      </c>
      <c r="AO60" s="166" t="s">
        <v>281</v>
      </c>
    </row>
    <row r="62" spans="3:41">
      <c r="AO62" s="166" t="s">
        <v>228</v>
      </c>
    </row>
  </sheetData>
  <mergeCells count="9">
    <mergeCell ref="A25:V25"/>
    <mergeCell ref="A26:V26"/>
    <mergeCell ref="A1:V1"/>
    <mergeCell ref="A2:V2"/>
    <mergeCell ref="A4:A5"/>
    <mergeCell ref="B4:B5"/>
    <mergeCell ref="C4:H4"/>
    <mergeCell ref="I4:T4"/>
    <mergeCell ref="V4:V5"/>
  </mergeCells>
  <phoneticPr fontId="32" type="noConversion"/>
  <printOptions horizontalCentered="1"/>
  <pageMargins left="0.11811023622047245" right="0.11811023622047245" top="1.5748031496062993" bottom="0.23622047244094491" header="0.86614173228346458" footer="0.47244094488188981"/>
  <pageSetup paperSize="256" scale="53" firstPageNumber="4294963191" orientation="landscape" horizontalDpi="4294967293" verticalDpi="4294967293" copies="1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2:S46"/>
  <sheetViews>
    <sheetView tabSelected="1" topLeftCell="G1" zoomScale="70" zoomScaleNormal="70" zoomScaleSheetLayoutView="50" workbookViewId="0">
      <selection activeCell="B3" sqref="B3:S3"/>
    </sheetView>
  </sheetViews>
  <sheetFormatPr defaultRowHeight="12.75"/>
  <cols>
    <col min="1" max="1" width="1.42578125" style="225" hidden="1" customWidth="1"/>
    <col min="2" max="2" width="21.140625" style="225" customWidth="1"/>
    <col min="3" max="3" width="16.85546875" style="225" customWidth="1"/>
    <col min="4" max="4" width="17.7109375" style="225" customWidth="1"/>
    <col min="5" max="5" width="20.5703125" style="225" customWidth="1"/>
    <col min="6" max="17" width="19.140625" style="225" customWidth="1"/>
    <col min="18" max="18" width="19.140625" style="227" customWidth="1"/>
    <col min="19" max="19" width="16" style="225" bestFit="1" customWidth="1"/>
    <col min="20" max="20" width="15.28515625" style="225" bestFit="1" customWidth="1"/>
    <col min="21" max="16384" width="9.140625" style="225"/>
  </cols>
  <sheetData>
    <row r="2" spans="2:19" ht="33.75">
      <c r="B2" s="456" t="s">
        <v>375</v>
      </c>
      <c r="C2" s="456"/>
      <c r="D2" s="456"/>
      <c r="E2" s="456"/>
      <c r="F2" s="456"/>
      <c r="G2" s="456"/>
      <c r="H2" s="456"/>
      <c r="I2" s="456"/>
      <c r="J2" s="456"/>
      <c r="K2" s="456"/>
      <c r="L2" s="456"/>
      <c r="M2" s="456"/>
      <c r="N2" s="456"/>
      <c r="O2" s="456"/>
      <c r="P2" s="456"/>
      <c r="Q2" s="456"/>
      <c r="R2" s="456"/>
      <c r="S2" s="456"/>
    </row>
    <row r="3" spans="2:19" ht="33.75">
      <c r="B3" s="457" t="s">
        <v>407</v>
      </c>
      <c r="C3" s="457"/>
      <c r="D3" s="457"/>
      <c r="E3" s="457"/>
      <c r="F3" s="457"/>
      <c r="G3" s="457"/>
      <c r="H3" s="457"/>
      <c r="I3" s="457"/>
      <c r="J3" s="457"/>
      <c r="K3" s="457"/>
      <c r="L3" s="457"/>
      <c r="M3" s="457"/>
      <c r="N3" s="457"/>
      <c r="O3" s="457"/>
      <c r="P3" s="457"/>
      <c r="Q3" s="457"/>
      <c r="R3" s="457"/>
      <c r="S3" s="457"/>
    </row>
    <row r="4" spans="2:19" ht="34.5" thickBot="1">
      <c r="B4" s="228"/>
      <c r="C4" s="228"/>
      <c r="D4" s="228"/>
      <c r="E4" s="228"/>
      <c r="F4" s="228"/>
      <c r="G4" s="228"/>
      <c r="H4" s="228"/>
      <c r="I4" s="228"/>
      <c r="J4" s="228"/>
      <c r="K4" s="228"/>
      <c r="L4" s="228"/>
      <c r="M4" s="228"/>
      <c r="N4" s="228"/>
      <c r="O4" s="228"/>
      <c r="P4" s="228"/>
      <c r="Q4" s="229"/>
      <c r="R4" s="230"/>
      <c r="S4" s="231"/>
    </row>
    <row r="5" spans="2:19" ht="24.95" customHeight="1" thickTop="1">
      <c r="B5" s="458" t="s">
        <v>292</v>
      </c>
      <c r="C5" s="461" t="s">
        <v>293</v>
      </c>
      <c r="D5" s="461"/>
      <c r="E5" s="291" t="s">
        <v>294</v>
      </c>
      <c r="F5" s="291" t="s">
        <v>295</v>
      </c>
      <c r="G5" s="291" t="s">
        <v>296</v>
      </c>
      <c r="H5" s="291" t="s">
        <v>297</v>
      </c>
      <c r="I5" s="291" t="s">
        <v>298</v>
      </c>
      <c r="J5" s="291" t="s">
        <v>299</v>
      </c>
      <c r="K5" s="291" t="s">
        <v>300</v>
      </c>
      <c r="L5" s="291" t="s">
        <v>301</v>
      </c>
      <c r="M5" s="291" t="s">
        <v>302</v>
      </c>
      <c r="N5" s="291" t="s">
        <v>291</v>
      </c>
      <c r="O5" s="291" t="s">
        <v>303</v>
      </c>
      <c r="P5" s="291" t="s">
        <v>304</v>
      </c>
      <c r="Q5" s="291" t="s">
        <v>305</v>
      </c>
      <c r="R5" s="291" t="s">
        <v>306</v>
      </c>
      <c r="S5" s="232" t="s">
        <v>307</v>
      </c>
    </row>
    <row r="6" spans="2:19" ht="24.95" customHeight="1">
      <c r="B6" s="459"/>
      <c r="C6" s="455" t="s">
        <v>308</v>
      </c>
      <c r="D6" s="455"/>
      <c r="E6" s="292" t="s">
        <v>290</v>
      </c>
      <c r="F6" s="292" t="s">
        <v>290</v>
      </c>
      <c r="G6" s="292" t="s">
        <v>290</v>
      </c>
      <c r="H6" s="292" t="s">
        <v>290</v>
      </c>
      <c r="I6" s="292" t="s">
        <v>290</v>
      </c>
      <c r="J6" s="292" t="s">
        <v>290</v>
      </c>
      <c r="K6" s="292" t="s">
        <v>290</v>
      </c>
      <c r="L6" s="292" t="s">
        <v>290</v>
      </c>
      <c r="M6" s="292" t="s">
        <v>290</v>
      </c>
      <c r="N6" s="292" t="s">
        <v>290</v>
      </c>
      <c r="O6" s="292" t="s">
        <v>290</v>
      </c>
      <c r="P6" s="292" t="s">
        <v>290</v>
      </c>
      <c r="Q6" s="292" t="s">
        <v>290</v>
      </c>
      <c r="R6" s="292" t="s">
        <v>290</v>
      </c>
      <c r="S6" s="233" t="s">
        <v>309</v>
      </c>
    </row>
    <row r="7" spans="2:19" ht="24.95" customHeight="1" thickBot="1">
      <c r="B7" s="460"/>
      <c r="C7" s="234" t="s">
        <v>289</v>
      </c>
      <c r="D7" s="235" t="s">
        <v>310</v>
      </c>
      <c r="E7" s="236" t="s">
        <v>311</v>
      </c>
      <c r="F7" s="236" t="s">
        <v>311</v>
      </c>
      <c r="G7" s="236" t="s">
        <v>311</v>
      </c>
      <c r="H7" s="236" t="s">
        <v>311</v>
      </c>
      <c r="I7" s="236" t="s">
        <v>311</v>
      </c>
      <c r="J7" s="236" t="s">
        <v>311</v>
      </c>
      <c r="K7" s="236" t="s">
        <v>311</v>
      </c>
      <c r="L7" s="236" t="s">
        <v>311</v>
      </c>
      <c r="M7" s="236" t="s">
        <v>311</v>
      </c>
      <c r="N7" s="236" t="s">
        <v>311</v>
      </c>
      <c r="O7" s="236" t="s">
        <v>311</v>
      </c>
      <c r="P7" s="236" t="s">
        <v>311</v>
      </c>
      <c r="Q7" s="236" t="s">
        <v>311</v>
      </c>
      <c r="R7" s="236" t="s">
        <v>311</v>
      </c>
      <c r="S7" s="237" t="s">
        <v>312</v>
      </c>
    </row>
    <row r="8" spans="2:19" ht="24.95" customHeight="1" thickTop="1">
      <c r="B8" s="238" t="s">
        <v>313</v>
      </c>
      <c r="C8" s="239">
        <v>2</v>
      </c>
      <c r="D8" s="239">
        <v>2</v>
      </c>
      <c r="E8" s="240">
        <v>3</v>
      </c>
      <c r="F8" s="240">
        <v>4</v>
      </c>
      <c r="G8" s="240">
        <v>3</v>
      </c>
      <c r="H8" s="240">
        <v>2</v>
      </c>
      <c r="I8" s="240">
        <v>3</v>
      </c>
      <c r="J8" s="240">
        <v>3</v>
      </c>
      <c r="K8" s="240">
        <v>1</v>
      </c>
      <c r="L8" s="240">
        <v>1</v>
      </c>
      <c r="M8" s="240">
        <v>2</v>
      </c>
      <c r="N8" s="240">
        <v>3</v>
      </c>
      <c r="O8" s="240">
        <v>2</v>
      </c>
      <c r="P8" s="240">
        <v>1</v>
      </c>
      <c r="Q8" s="240">
        <v>2</v>
      </c>
      <c r="R8" s="240">
        <v>2</v>
      </c>
      <c r="S8" s="241">
        <f t="shared" ref="S8:S31" si="0">SUM(C8:R8)</f>
        <v>36</v>
      </c>
    </row>
    <row r="9" spans="2:19" ht="24.95" customHeight="1">
      <c r="B9" s="242" t="s">
        <v>315</v>
      </c>
      <c r="C9" s="243">
        <v>2</v>
      </c>
      <c r="D9" s="243">
        <v>2</v>
      </c>
      <c r="E9" s="244">
        <v>4</v>
      </c>
      <c r="F9" s="244">
        <v>4</v>
      </c>
      <c r="G9" s="244">
        <v>3</v>
      </c>
      <c r="H9" s="244">
        <v>3</v>
      </c>
      <c r="I9" s="244">
        <v>3</v>
      </c>
      <c r="J9" s="244">
        <v>3</v>
      </c>
      <c r="K9" s="244">
        <v>1</v>
      </c>
      <c r="L9" s="244">
        <v>2</v>
      </c>
      <c r="M9" s="244">
        <v>3</v>
      </c>
      <c r="N9" s="244">
        <v>3</v>
      </c>
      <c r="O9" s="244">
        <v>2</v>
      </c>
      <c r="P9" s="244">
        <v>1</v>
      </c>
      <c r="Q9" s="244">
        <v>3</v>
      </c>
      <c r="R9" s="244">
        <v>2</v>
      </c>
      <c r="S9" s="245">
        <f t="shared" si="0"/>
        <v>41</v>
      </c>
    </row>
    <row r="10" spans="2:19" ht="24.95" customHeight="1">
      <c r="B10" s="242" t="s">
        <v>316</v>
      </c>
      <c r="C10" s="243">
        <v>2</v>
      </c>
      <c r="D10" s="243">
        <v>2</v>
      </c>
      <c r="E10" s="244">
        <v>4</v>
      </c>
      <c r="F10" s="244">
        <v>4</v>
      </c>
      <c r="G10" s="244">
        <v>3</v>
      </c>
      <c r="H10" s="244">
        <v>3</v>
      </c>
      <c r="I10" s="244">
        <v>3</v>
      </c>
      <c r="J10" s="244">
        <v>3</v>
      </c>
      <c r="K10" s="244">
        <v>1</v>
      </c>
      <c r="L10" s="244">
        <v>2</v>
      </c>
      <c r="M10" s="244">
        <v>3</v>
      </c>
      <c r="N10" s="244">
        <v>3</v>
      </c>
      <c r="O10" s="244">
        <v>2</v>
      </c>
      <c r="P10" s="244">
        <v>1</v>
      </c>
      <c r="Q10" s="244">
        <v>3</v>
      </c>
      <c r="R10" s="244">
        <v>2</v>
      </c>
      <c r="S10" s="245">
        <f t="shared" si="0"/>
        <v>41</v>
      </c>
    </row>
    <row r="11" spans="2:19" ht="24.95" customHeight="1">
      <c r="B11" s="242" t="s">
        <v>317</v>
      </c>
      <c r="C11" s="243">
        <v>2</v>
      </c>
      <c r="D11" s="243">
        <v>2</v>
      </c>
      <c r="E11" s="244">
        <v>4</v>
      </c>
      <c r="F11" s="244">
        <v>4</v>
      </c>
      <c r="G11" s="244">
        <v>3</v>
      </c>
      <c r="H11" s="244">
        <v>3</v>
      </c>
      <c r="I11" s="244">
        <v>2</v>
      </c>
      <c r="J11" s="244">
        <v>3</v>
      </c>
      <c r="K11" s="244">
        <v>1</v>
      </c>
      <c r="L11" s="244">
        <v>2</v>
      </c>
      <c r="M11" s="244">
        <v>3</v>
      </c>
      <c r="N11" s="244">
        <v>3</v>
      </c>
      <c r="O11" s="244">
        <v>2</v>
      </c>
      <c r="P11" s="244">
        <v>1</v>
      </c>
      <c r="Q11" s="244">
        <v>3</v>
      </c>
      <c r="R11" s="244">
        <v>2</v>
      </c>
      <c r="S11" s="245">
        <f t="shared" si="0"/>
        <v>40</v>
      </c>
    </row>
    <row r="12" spans="2:19" ht="24.95" customHeight="1">
      <c r="B12" s="242" t="s">
        <v>318</v>
      </c>
      <c r="C12" s="243">
        <v>2</v>
      </c>
      <c r="D12" s="243">
        <v>2</v>
      </c>
      <c r="E12" s="244">
        <v>4</v>
      </c>
      <c r="F12" s="244">
        <v>4</v>
      </c>
      <c r="G12" s="244">
        <v>1</v>
      </c>
      <c r="H12" s="244">
        <v>3</v>
      </c>
      <c r="I12" s="244">
        <v>2</v>
      </c>
      <c r="J12" s="244">
        <v>3</v>
      </c>
      <c r="K12" s="244">
        <v>1</v>
      </c>
      <c r="L12" s="244">
        <v>1</v>
      </c>
      <c r="M12" s="244">
        <v>3</v>
      </c>
      <c r="N12" s="244">
        <v>3</v>
      </c>
      <c r="O12" s="244">
        <v>2</v>
      </c>
      <c r="P12" s="244">
        <v>1</v>
      </c>
      <c r="Q12" s="244">
        <v>3</v>
      </c>
      <c r="R12" s="244">
        <v>2</v>
      </c>
      <c r="S12" s="245">
        <f t="shared" si="0"/>
        <v>37</v>
      </c>
    </row>
    <row r="13" spans="2:19" ht="24.95" customHeight="1">
      <c r="B13" s="246" t="s">
        <v>319</v>
      </c>
      <c r="C13" s="243">
        <v>2</v>
      </c>
      <c r="D13" s="243">
        <v>2</v>
      </c>
      <c r="E13" s="244">
        <v>4</v>
      </c>
      <c r="F13" s="244">
        <v>4</v>
      </c>
      <c r="G13" s="244">
        <v>1</v>
      </c>
      <c r="H13" s="244">
        <v>2</v>
      </c>
      <c r="I13" s="244">
        <v>2</v>
      </c>
      <c r="J13" s="244">
        <v>2</v>
      </c>
      <c r="K13" s="244">
        <v>1</v>
      </c>
      <c r="L13" s="244">
        <v>1</v>
      </c>
      <c r="M13" s="244">
        <v>3</v>
      </c>
      <c r="N13" s="244">
        <v>3</v>
      </c>
      <c r="O13" s="244">
        <v>2</v>
      </c>
      <c r="P13" s="244">
        <v>1</v>
      </c>
      <c r="Q13" s="244">
        <v>3</v>
      </c>
      <c r="R13" s="244">
        <v>1</v>
      </c>
      <c r="S13" s="245">
        <f t="shared" si="0"/>
        <v>34</v>
      </c>
    </row>
    <row r="14" spans="2:19" ht="24.95" customHeight="1">
      <c r="B14" s="246" t="s">
        <v>320</v>
      </c>
      <c r="C14" s="243">
        <v>2</v>
      </c>
      <c r="D14" s="243">
        <v>2</v>
      </c>
      <c r="E14" s="244">
        <v>4</v>
      </c>
      <c r="F14" s="244">
        <v>3</v>
      </c>
      <c r="G14" s="247" t="s">
        <v>314</v>
      </c>
      <c r="H14" s="244">
        <v>2</v>
      </c>
      <c r="I14" s="244">
        <v>2</v>
      </c>
      <c r="J14" s="244">
        <v>2</v>
      </c>
      <c r="K14" s="244">
        <v>1</v>
      </c>
      <c r="L14" s="244">
        <v>1</v>
      </c>
      <c r="M14" s="244">
        <v>2</v>
      </c>
      <c r="N14" s="244">
        <v>2</v>
      </c>
      <c r="O14" s="244">
        <v>2</v>
      </c>
      <c r="P14" s="244">
        <v>1</v>
      </c>
      <c r="Q14" s="244">
        <v>2</v>
      </c>
      <c r="R14" s="244">
        <v>1</v>
      </c>
      <c r="S14" s="245">
        <f t="shared" si="0"/>
        <v>29</v>
      </c>
    </row>
    <row r="15" spans="2:19" ht="24.95" customHeight="1">
      <c r="B15" s="246" t="s">
        <v>321</v>
      </c>
      <c r="C15" s="243">
        <v>2</v>
      </c>
      <c r="D15" s="243">
        <v>1</v>
      </c>
      <c r="E15" s="244">
        <v>4</v>
      </c>
      <c r="F15" s="244">
        <v>2</v>
      </c>
      <c r="G15" s="244">
        <v>2</v>
      </c>
      <c r="H15" s="244">
        <v>2</v>
      </c>
      <c r="I15" s="244">
        <v>2</v>
      </c>
      <c r="J15" s="244">
        <v>2</v>
      </c>
      <c r="K15" s="244">
        <v>1</v>
      </c>
      <c r="L15" s="244">
        <v>1</v>
      </c>
      <c r="M15" s="244">
        <v>2</v>
      </c>
      <c r="N15" s="244">
        <v>2</v>
      </c>
      <c r="O15" s="244">
        <v>2</v>
      </c>
      <c r="P15" s="244">
        <v>1</v>
      </c>
      <c r="Q15" s="244">
        <v>2</v>
      </c>
      <c r="R15" s="244">
        <v>1</v>
      </c>
      <c r="S15" s="245">
        <f t="shared" si="0"/>
        <v>29</v>
      </c>
    </row>
    <row r="16" spans="2:19" ht="24.95" customHeight="1">
      <c r="B16" s="246" t="s">
        <v>322</v>
      </c>
      <c r="C16" s="243">
        <v>2</v>
      </c>
      <c r="D16" s="243">
        <v>1</v>
      </c>
      <c r="E16" s="244">
        <v>4</v>
      </c>
      <c r="F16" s="244">
        <v>2</v>
      </c>
      <c r="G16" s="244">
        <v>2</v>
      </c>
      <c r="H16" s="244">
        <v>2</v>
      </c>
      <c r="I16" s="247" t="s">
        <v>314</v>
      </c>
      <c r="J16" s="244">
        <v>2</v>
      </c>
      <c r="K16" s="244">
        <v>1</v>
      </c>
      <c r="L16" s="244">
        <v>1</v>
      </c>
      <c r="M16" s="244">
        <v>1</v>
      </c>
      <c r="N16" s="244">
        <v>1</v>
      </c>
      <c r="O16" s="247" t="s">
        <v>314</v>
      </c>
      <c r="P16" s="244">
        <v>1</v>
      </c>
      <c r="Q16" s="244">
        <v>2</v>
      </c>
      <c r="R16" s="244">
        <v>1</v>
      </c>
      <c r="S16" s="245">
        <f t="shared" si="0"/>
        <v>23</v>
      </c>
    </row>
    <row r="17" spans="2:19" ht="24.95" customHeight="1">
      <c r="B17" s="246" t="s">
        <v>323</v>
      </c>
      <c r="C17" s="247" t="s">
        <v>314</v>
      </c>
      <c r="D17" s="243">
        <v>1</v>
      </c>
      <c r="E17" s="244">
        <v>4</v>
      </c>
      <c r="F17" s="244">
        <v>2</v>
      </c>
      <c r="G17" s="247" t="s">
        <v>314</v>
      </c>
      <c r="H17" s="247" t="s">
        <v>314</v>
      </c>
      <c r="I17" s="247" t="s">
        <v>314</v>
      </c>
      <c r="J17" s="244">
        <v>2</v>
      </c>
      <c r="K17" s="247" t="s">
        <v>314</v>
      </c>
      <c r="L17" s="244">
        <v>1</v>
      </c>
      <c r="M17" s="244">
        <v>1</v>
      </c>
      <c r="N17" s="244">
        <v>1</v>
      </c>
      <c r="O17" s="247" t="s">
        <v>314</v>
      </c>
      <c r="P17" s="244">
        <v>1</v>
      </c>
      <c r="Q17" s="244">
        <v>1</v>
      </c>
      <c r="R17" s="244">
        <v>1</v>
      </c>
      <c r="S17" s="245">
        <f t="shared" si="0"/>
        <v>15</v>
      </c>
    </row>
    <row r="18" spans="2:19" ht="24.95" customHeight="1">
      <c r="B18" s="246" t="s">
        <v>324</v>
      </c>
      <c r="C18" s="247" t="s">
        <v>314</v>
      </c>
      <c r="D18" s="243">
        <v>1</v>
      </c>
      <c r="E18" s="244">
        <v>4</v>
      </c>
      <c r="F18" s="244">
        <v>2</v>
      </c>
      <c r="G18" s="247" t="s">
        <v>314</v>
      </c>
      <c r="H18" s="247" t="s">
        <v>314</v>
      </c>
      <c r="I18" s="247" t="s">
        <v>314</v>
      </c>
      <c r="J18" s="244">
        <v>2</v>
      </c>
      <c r="K18" s="247" t="s">
        <v>314</v>
      </c>
      <c r="L18" s="244">
        <v>1</v>
      </c>
      <c r="M18" s="244">
        <v>1</v>
      </c>
      <c r="N18" s="244">
        <v>1</v>
      </c>
      <c r="O18" s="247" t="s">
        <v>314</v>
      </c>
      <c r="P18" s="244">
        <v>1</v>
      </c>
      <c r="Q18" s="244">
        <v>1</v>
      </c>
      <c r="R18" s="244">
        <v>1</v>
      </c>
      <c r="S18" s="245">
        <f t="shared" si="0"/>
        <v>15</v>
      </c>
    </row>
    <row r="19" spans="2:19" ht="24.95" customHeight="1">
      <c r="B19" s="246" t="s">
        <v>325</v>
      </c>
      <c r="C19" s="243">
        <v>2</v>
      </c>
      <c r="D19" s="243">
        <v>1</v>
      </c>
      <c r="E19" s="244">
        <v>4</v>
      </c>
      <c r="F19" s="244">
        <v>4</v>
      </c>
      <c r="G19" s="244">
        <v>2</v>
      </c>
      <c r="H19" s="244">
        <v>2</v>
      </c>
      <c r="I19" s="244">
        <v>3</v>
      </c>
      <c r="J19" s="244">
        <v>3</v>
      </c>
      <c r="K19" s="244">
        <v>1</v>
      </c>
      <c r="L19" s="244">
        <v>1</v>
      </c>
      <c r="M19" s="244">
        <v>2</v>
      </c>
      <c r="N19" s="244">
        <v>2</v>
      </c>
      <c r="O19" s="244">
        <v>2</v>
      </c>
      <c r="P19" s="244">
        <v>1</v>
      </c>
      <c r="Q19" s="244">
        <v>2</v>
      </c>
      <c r="R19" s="244">
        <v>1</v>
      </c>
      <c r="S19" s="245">
        <f t="shared" si="0"/>
        <v>33</v>
      </c>
    </row>
    <row r="20" spans="2:19" ht="24.95" customHeight="1">
      <c r="B20" s="246" t="s">
        <v>326</v>
      </c>
      <c r="C20" s="243">
        <v>2</v>
      </c>
      <c r="D20" s="243">
        <v>2</v>
      </c>
      <c r="E20" s="244">
        <v>4</v>
      </c>
      <c r="F20" s="244">
        <v>4</v>
      </c>
      <c r="G20" s="244">
        <v>3</v>
      </c>
      <c r="H20" s="244">
        <v>2</v>
      </c>
      <c r="I20" s="244">
        <v>3</v>
      </c>
      <c r="J20" s="244">
        <v>3</v>
      </c>
      <c r="K20" s="244">
        <v>1</v>
      </c>
      <c r="L20" s="244">
        <v>1</v>
      </c>
      <c r="M20" s="244">
        <v>3</v>
      </c>
      <c r="N20" s="244">
        <v>3</v>
      </c>
      <c r="O20" s="244">
        <v>2</v>
      </c>
      <c r="P20" s="244">
        <v>1</v>
      </c>
      <c r="Q20" s="244">
        <v>3</v>
      </c>
      <c r="R20" s="244">
        <v>2</v>
      </c>
      <c r="S20" s="245">
        <f t="shared" si="0"/>
        <v>39</v>
      </c>
    </row>
    <row r="21" spans="2:19" ht="24.95" customHeight="1">
      <c r="B21" s="246" t="s">
        <v>327</v>
      </c>
      <c r="C21" s="243">
        <v>2</v>
      </c>
      <c r="D21" s="243">
        <v>2</v>
      </c>
      <c r="E21" s="244">
        <v>4</v>
      </c>
      <c r="F21" s="244">
        <v>4</v>
      </c>
      <c r="G21" s="244">
        <v>3</v>
      </c>
      <c r="H21" s="244">
        <v>3</v>
      </c>
      <c r="I21" s="244">
        <v>3</v>
      </c>
      <c r="J21" s="244">
        <v>3</v>
      </c>
      <c r="K21" s="244">
        <v>1</v>
      </c>
      <c r="L21" s="244">
        <v>1</v>
      </c>
      <c r="M21" s="244">
        <v>3</v>
      </c>
      <c r="N21" s="244">
        <v>3</v>
      </c>
      <c r="O21" s="244">
        <v>2</v>
      </c>
      <c r="P21" s="244">
        <v>1</v>
      </c>
      <c r="Q21" s="244">
        <v>3</v>
      </c>
      <c r="R21" s="244">
        <v>2</v>
      </c>
      <c r="S21" s="245">
        <f t="shared" si="0"/>
        <v>40</v>
      </c>
    </row>
    <row r="22" spans="2:19" ht="24.95" customHeight="1">
      <c r="B22" s="246" t="s">
        <v>328</v>
      </c>
      <c r="C22" s="243">
        <v>2</v>
      </c>
      <c r="D22" s="243">
        <v>2</v>
      </c>
      <c r="E22" s="244">
        <v>4</v>
      </c>
      <c r="F22" s="244">
        <v>4</v>
      </c>
      <c r="G22" s="244">
        <v>2</v>
      </c>
      <c r="H22" s="244">
        <v>3</v>
      </c>
      <c r="I22" s="244">
        <v>3</v>
      </c>
      <c r="J22" s="244">
        <v>3</v>
      </c>
      <c r="K22" s="244">
        <v>1</v>
      </c>
      <c r="L22" s="244">
        <v>1</v>
      </c>
      <c r="M22" s="244">
        <v>3</v>
      </c>
      <c r="N22" s="244">
        <v>3</v>
      </c>
      <c r="O22" s="244">
        <v>2</v>
      </c>
      <c r="P22" s="244">
        <v>1</v>
      </c>
      <c r="Q22" s="244">
        <v>3</v>
      </c>
      <c r="R22" s="244">
        <v>2</v>
      </c>
      <c r="S22" s="245">
        <f t="shared" si="0"/>
        <v>39</v>
      </c>
    </row>
    <row r="23" spans="2:19" ht="24.95" customHeight="1">
      <c r="B23" s="246" t="s">
        <v>329</v>
      </c>
      <c r="C23" s="243">
        <v>2</v>
      </c>
      <c r="D23" s="243">
        <v>2</v>
      </c>
      <c r="E23" s="244">
        <v>4</v>
      </c>
      <c r="F23" s="244">
        <v>4</v>
      </c>
      <c r="G23" s="244">
        <v>2</v>
      </c>
      <c r="H23" s="244">
        <v>2</v>
      </c>
      <c r="I23" s="244">
        <v>3</v>
      </c>
      <c r="J23" s="244">
        <v>3</v>
      </c>
      <c r="K23" s="244">
        <v>1</v>
      </c>
      <c r="L23" s="244">
        <v>1</v>
      </c>
      <c r="M23" s="244">
        <v>2</v>
      </c>
      <c r="N23" s="244">
        <v>2</v>
      </c>
      <c r="O23" s="244">
        <v>2</v>
      </c>
      <c r="P23" s="244">
        <v>1</v>
      </c>
      <c r="Q23" s="244">
        <v>2</v>
      </c>
      <c r="R23" s="244">
        <v>1</v>
      </c>
      <c r="S23" s="245">
        <f t="shared" si="0"/>
        <v>34</v>
      </c>
    </row>
    <row r="24" spans="2:19" ht="24.95" customHeight="1">
      <c r="B24" s="246" t="s">
        <v>330</v>
      </c>
      <c r="C24" s="243">
        <v>2</v>
      </c>
      <c r="D24" s="243">
        <v>1</v>
      </c>
      <c r="E24" s="244">
        <v>2</v>
      </c>
      <c r="F24" s="244">
        <v>2</v>
      </c>
      <c r="G24" s="244">
        <v>1</v>
      </c>
      <c r="H24" s="247" t="s">
        <v>314</v>
      </c>
      <c r="I24" s="247" t="s">
        <v>314</v>
      </c>
      <c r="J24" s="244">
        <v>2</v>
      </c>
      <c r="K24" s="244">
        <v>1</v>
      </c>
      <c r="L24" s="244">
        <v>1</v>
      </c>
      <c r="M24" s="244">
        <v>2</v>
      </c>
      <c r="N24" s="244">
        <v>2</v>
      </c>
      <c r="O24" s="244">
        <v>2</v>
      </c>
      <c r="P24" s="244">
        <v>1</v>
      </c>
      <c r="Q24" s="244">
        <v>2</v>
      </c>
      <c r="R24" s="247" t="s">
        <v>314</v>
      </c>
      <c r="S24" s="245">
        <f t="shared" si="0"/>
        <v>21</v>
      </c>
    </row>
    <row r="25" spans="2:19" ht="24.95" customHeight="1">
      <c r="B25" s="246" t="s">
        <v>332</v>
      </c>
      <c r="C25" s="243">
        <v>2</v>
      </c>
      <c r="D25" s="243">
        <v>1</v>
      </c>
      <c r="E25" s="244">
        <v>2</v>
      </c>
      <c r="F25" s="244">
        <v>2</v>
      </c>
      <c r="G25" s="244">
        <v>1</v>
      </c>
      <c r="H25" s="247" t="s">
        <v>314</v>
      </c>
      <c r="I25" s="247" t="s">
        <v>314</v>
      </c>
      <c r="J25" s="247" t="s">
        <v>314</v>
      </c>
      <c r="K25" s="247" t="s">
        <v>314</v>
      </c>
      <c r="L25" s="247" t="s">
        <v>314</v>
      </c>
      <c r="M25" s="247" t="s">
        <v>314</v>
      </c>
      <c r="N25" s="244">
        <v>1</v>
      </c>
      <c r="O25" s="244">
        <v>2</v>
      </c>
      <c r="P25" s="247" t="s">
        <v>314</v>
      </c>
      <c r="Q25" s="247" t="s">
        <v>314</v>
      </c>
      <c r="R25" s="247" t="s">
        <v>314</v>
      </c>
      <c r="S25" s="245">
        <f t="shared" si="0"/>
        <v>11</v>
      </c>
    </row>
    <row r="26" spans="2:19" ht="24.95" customHeight="1">
      <c r="B26" s="246" t="s">
        <v>333</v>
      </c>
      <c r="C26" s="247" t="s">
        <v>314</v>
      </c>
      <c r="D26" s="247" t="s">
        <v>314</v>
      </c>
      <c r="E26" s="247" t="s">
        <v>314</v>
      </c>
      <c r="F26" s="244">
        <v>2</v>
      </c>
      <c r="G26" s="248" t="s">
        <v>331</v>
      </c>
      <c r="H26" s="247" t="s">
        <v>314</v>
      </c>
      <c r="I26" s="247" t="s">
        <v>314</v>
      </c>
      <c r="J26" s="247" t="s">
        <v>314</v>
      </c>
      <c r="K26" s="247" t="s">
        <v>314</v>
      </c>
      <c r="L26" s="247" t="s">
        <v>314</v>
      </c>
      <c r="M26" s="247" t="s">
        <v>314</v>
      </c>
      <c r="N26" s="244">
        <v>1</v>
      </c>
      <c r="O26" s="247" t="s">
        <v>314</v>
      </c>
      <c r="P26" s="247" t="s">
        <v>314</v>
      </c>
      <c r="Q26" s="247" t="s">
        <v>314</v>
      </c>
      <c r="R26" s="247" t="s">
        <v>314</v>
      </c>
      <c r="S26" s="245">
        <f t="shared" si="0"/>
        <v>3</v>
      </c>
    </row>
    <row r="27" spans="2:19" ht="24.95" customHeight="1">
      <c r="B27" s="246" t="s">
        <v>334</v>
      </c>
      <c r="C27" s="247" t="s">
        <v>314</v>
      </c>
      <c r="D27" s="247" t="s">
        <v>314</v>
      </c>
      <c r="E27" s="247" t="s">
        <v>314</v>
      </c>
      <c r="F27" s="244">
        <v>2</v>
      </c>
      <c r="G27" s="248" t="s">
        <v>331</v>
      </c>
      <c r="H27" s="247" t="s">
        <v>314</v>
      </c>
      <c r="I27" s="247" t="s">
        <v>314</v>
      </c>
      <c r="J27" s="247" t="s">
        <v>314</v>
      </c>
      <c r="K27" s="247" t="s">
        <v>314</v>
      </c>
      <c r="L27" s="247" t="s">
        <v>314</v>
      </c>
      <c r="M27" s="247" t="s">
        <v>314</v>
      </c>
      <c r="N27" s="244">
        <v>1</v>
      </c>
      <c r="O27" s="247" t="s">
        <v>314</v>
      </c>
      <c r="P27" s="247" t="s">
        <v>314</v>
      </c>
      <c r="Q27" s="247" t="s">
        <v>314</v>
      </c>
      <c r="R27" s="247" t="s">
        <v>314</v>
      </c>
      <c r="S27" s="245">
        <f t="shared" si="0"/>
        <v>3</v>
      </c>
    </row>
    <row r="28" spans="2:19" ht="24.95" customHeight="1">
      <c r="B28" s="242" t="s">
        <v>335</v>
      </c>
      <c r="C28" s="247" t="s">
        <v>314</v>
      </c>
      <c r="D28" s="247" t="s">
        <v>314</v>
      </c>
      <c r="E28" s="247" t="s">
        <v>314</v>
      </c>
      <c r="F28" s="244">
        <v>2</v>
      </c>
      <c r="G28" s="248" t="s">
        <v>331</v>
      </c>
      <c r="H28" s="247" t="s">
        <v>314</v>
      </c>
      <c r="I28" s="247" t="s">
        <v>314</v>
      </c>
      <c r="J28" s="247" t="s">
        <v>314</v>
      </c>
      <c r="K28" s="247" t="s">
        <v>314</v>
      </c>
      <c r="L28" s="247" t="s">
        <v>314</v>
      </c>
      <c r="M28" s="247" t="s">
        <v>314</v>
      </c>
      <c r="N28" s="244">
        <v>1</v>
      </c>
      <c r="O28" s="247" t="s">
        <v>314</v>
      </c>
      <c r="P28" s="247" t="s">
        <v>314</v>
      </c>
      <c r="Q28" s="247" t="s">
        <v>314</v>
      </c>
      <c r="R28" s="247" t="s">
        <v>314</v>
      </c>
      <c r="S28" s="245">
        <f t="shared" si="0"/>
        <v>3</v>
      </c>
    </row>
    <row r="29" spans="2:19" ht="24.95" customHeight="1">
      <c r="B29" s="242" t="s">
        <v>336</v>
      </c>
      <c r="C29" s="247" t="s">
        <v>314</v>
      </c>
      <c r="D29" s="247" t="s">
        <v>314</v>
      </c>
      <c r="E29" s="247" t="s">
        <v>314</v>
      </c>
      <c r="F29" s="244">
        <v>2</v>
      </c>
      <c r="G29" s="248" t="s">
        <v>331</v>
      </c>
      <c r="H29" s="247" t="s">
        <v>314</v>
      </c>
      <c r="I29" s="247" t="s">
        <v>314</v>
      </c>
      <c r="J29" s="247" t="s">
        <v>314</v>
      </c>
      <c r="K29" s="247" t="s">
        <v>314</v>
      </c>
      <c r="L29" s="247" t="s">
        <v>314</v>
      </c>
      <c r="M29" s="247" t="s">
        <v>314</v>
      </c>
      <c r="N29" s="244">
        <v>1</v>
      </c>
      <c r="O29" s="247" t="s">
        <v>314</v>
      </c>
      <c r="P29" s="247" t="s">
        <v>314</v>
      </c>
      <c r="Q29" s="247" t="s">
        <v>314</v>
      </c>
      <c r="R29" s="247" t="s">
        <v>314</v>
      </c>
      <c r="S29" s="245">
        <f t="shared" si="0"/>
        <v>3</v>
      </c>
    </row>
    <row r="30" spans="2:19" ht="24.95" customHeight="1">
      <c r="B30" s="242" t="s">
        <v>337</v>
      </c>
      <c r="C30" s="243">
        <v>2</v>
      </c>
      <c r="D30" s="243">
        <v>1</v>
      </c>
      <c r="E30" s="243">
        <v>2</v>
      </c>
      <c r="F30" s="244">
        <v>3</v>
      </c>
      <c r="G30" s="244">
        <v>2</v>
      </c>
      <c r="H30" s="247" t="s">
        <v>314</v>
      </c>
      <c r="I30" s="247" t="s">
        <v>314</v>
      </c>
      <c r="J30" s="247" t="s">
        <v>314</v>
      </c>
      <c r="K30" s="243">
        <v>1</v>
      </c>
      <c r="L30" s="243">
        <v>1</v>
      </c>
      <c r="M30" s="243">
        <v>2</v>
      </c>
      <c r="N30" s="244">
        <v>1</v>
      </c>
      <c r="O30" s="244">
        <v>2</v>
      </c>
      <c r="P30" s="244">
        <v>1</v>
      </c>
      <c r="Q30" s="247" t="s">
        <v>314</v>
      </c>
      <c r="R30" s="244">
        <v>1</v>
      </c>
      <c r="S30" s="245">
        <f t="shared" si="0"/>
        <v>19</v>
      </c>
    </row>
    <row r="31" spans="2:19" ht="24.95" customHeight="1">
      <c r="B31" s="249" t="s">
        <v>338</v>
      </c>
      <c r="C31" s="243">
        <v>2</v>
      </c>
      <c r="D31" s="243">
        <v>2</v>
      </c>
      <c r="E31" s="243">
        <v>2</v>
      </c>
      <c r="F31" s="244">
        <v>3</v>
      </c>
      <c r="G31" s="244">
        <v>2</v>
      </c>
      <c r="H31" s="244">
        <v>2</v>
      </c>
      <c r="I31" s="244">
        <v>2</v>
      </c>
      <c r="J31" s="244">
        <v>2</v>
      </c>
      <c r="K31" s="243">
        <v>1</v>
      </c>
      <c r="L31" s="243">
        <v>1</v>
      </c>
      <c r="M31" s="243">
        <v>2</v>
      </c>
      <c r="N31" s="244">
        <v>2</v>
      </c>
      <c r="O31" s="244">
        <v>2</v>
      </c>
      <c r="P31" s="244">
        <v>1</v>
      </c>
      <c r="Q31" s="244">
        <v>2</v>
      </c>
      <c r="R31" s="244">
        <v>1</v>
      </c>
      <c r="S31" s="245">
        <f t="shared" si="0"/>
        <v>29</v>
      </c>
    </row>
    <row r="32" spans="2:19" ht="24.95" customHeight="1">
      <c r="B32" s="250" t="s">
        <v>232</v>
      </c>
      <c r="C32" s="454">
        <f t="shared" ref="C32:L32" si="1">SUM(C8:C31)</f>
        <v>36</v>
      </c>
      <c r="D32" s="454">
        <f t="shared" si="1"/>
        <v>32</v>
      </c>
      <c r="E32" s="454">
        <f t="shared" si="1"/>
        <v>71</v>
      </c>
      <c r="F32" s="454">
        <f t="shared" si="1"/>
        <v>73</v>
      </c>
      <c r="G32" s="454">
        <f t="shared" si="1"/>
        <v>36</v>
      </c>
      <c r="H32" s="454">
        <f t="shared" si="1"/>
        <v>36</v>
      </c>
      <c r="I32" s="454">
        <f t="shared" si="1"/>
        <v>36</v>
      </c>
      <c r="J32" s="454">
        <f t="shared" si="1"/>
        <v>46</v>
      </c>
      <c r="K32" s="454">
        <f t="shared" si="1"/>
        <v>17</v>
      </c>
      <c r="L32" s="454">
        <f t="shared" si="1"/>
        <v>22</v>
      </c>
      <c r="M32" s="451">
        <f t="shared" ref="M32:R32" si="2">SUM(M8:M31)</f>
        <v>43</v>
      </c>
      <c r="N32" s="454">
        <f t="shared" si="2"/>
        <v>48</v>
      </c>
      <c r="O32" s="454">
        <f t="shared" si="2"/>
        <v>34</v>
      </c>
      <c r="P32" s="454">
        <f t="shared" si="2"/>
        <v>19</v>
      </c>
      <c r="Q32" s="454">
        <f t="shared" si="2"/>
        <v>42</v>
      </c>
      <c r="R32" s="451">
        <f t="shared" si="2"/>
        <v>26</v>
      </c>
      <c r="S32" s="453">
        <f>SUM(C32:R33)</f>
        <v>617</v>
      </c>
    </row>
    <row r="33" spans="2:19" ht="24.95" customHeight="1">
      <c r="B33" s="251" t="s">
        <v>339</v>
      </c>
      <c r="C33" s="452"/>
      <c r="D33" s="452"/>
      <c r="E33" s="452"/>
      <c r="F33" s="452"/>
      <c r="G33" s="452"/>
      <c r="H33" s="452"/>
      <c r="I33" s="452"/>
      <c r="J33" s="452"/>
      <c r="K33" s="452"/>
      <c r="L33" s="452"/>
      <c r="M33" s="452"/>
      <c r="N33" s="452"/>
      <c r="O33" s="452"/>
      <c r="P33" s="452"/>
      <c r="Q33" s="452"/>
      <c r="R33" s="452"/>
      <c r="S33" s="453"/>
    </row>
    <row r="34" spans="2:19" ht="24.95" customHeight="1">
      <c r="B34" s="252" t="s">
        <v>340</v>
      </c>
      <c r="C34" s="446">
        <f>C32*30</f>
        <v>1080</v>
      </c>
      <c r="D34" s="446">
        <f t="shared" ref="D34:R34" si="3">D32*30</f>
        <v>960</v>
      </c>
      <c r="E34" s="446">
        <f t="shared" si="3"/>
        <v>2130</v>
      </c>
      <c r="F34" s="446">
        <f t="shared" si="3"/>
        <v>2190</v>
      </c>
      <c r="G34" s="446">
        <f t="shared" si="3"/>
        <v>1080</v>
      </c>
      <c r="H34" s="446">
        <f t="shared" si="3"/>
        <v>1080</v>
      </c>
      <c r="I34" s="446">
        <f t="shared" si="3"/>
        <v>1080</v>
      </c>
      <c r="J34" s="446">
        <f t="shared" si="3"/>
        <v>1380</v>
      </c>
      <c r="K34" s="446">
        <f t="shared" si="3"/>
        <v>510</v>
      </c>
      <c r="L34" s="446">
        <f t="shared" si="3"/>
        <v>660</v>
      </c>
      <c r="M34" s="446">
        <f t="shared" si="3"/>
        <v>1290</v>
      </c>
      <c r="N34" s="446">
        <f t="shared" si="3"/>
        <v>1440</v>
      </c>
      <c r="O34" s="446">
        <f t="shared" si="3"/>
        <v>1020</v>
      </c>
      <c r="P34" s="446">
        <f t="shared" si="3"/>
        <v>570</v>
      </c>
      <c r="Q34" s="446">
        <f t="shared" si="3"/>
        <v>1260</v>
      </c>
      <c r="R34" s="446">
        <f t="shared" si="3"/>
        <v>780</v>
      </c>
      <c r="S34" s="449">
        <f>SUM(C34:R36)</f>
        <v>18510</v>
      </c>
    </row>
    <row r="35" spans="2:19" ht="24.95" customHeight="1">
      <c r="B35" s="253" t="s">
        <v>341</v>
      </c>
      <c r="C35" s="447"/>
      <c r="D35" s="447"/>
      <c r="E35" s="447"/>
      <c r="F35" s="447"/>
      <c r="G35" s="447"/>
      <c r="H35" s="447"/>
      <c r="I35" s="447"/>
      <c r="J35" s="447"/>
      <c r="K35" s="447"/>
      <c r="L35" s="447"/>
      <c r="M35" s="447"/>
      <c r="N35" s="447"/>
      <c r="O35" s="447"/>
      <c r="P35" s="447"/>
      <c r="Q35" s="447"/>
      <c r="R35" s="447"/>
      <c r="S35" s="449"/>
    </row>
    <row r="36" spans="2:19" ht="24.95" customHeight="1" thickBot="1">
      <c r="B36" s="254" t="s">
        <v>342</v>
      </c>
      <c r="C36" s="448"/>
      <c r="D36" s="448"/>
      <c r="E36" s="448"/>
      <c r="F36" s="448"/>
      <c r="G36" s="448"/>
      <c r="H36" s="448"/>
      <c r="I36" s="448"/>
      <c r="J36" s="448"/>
      <c r="K36" s="448"/>
      <c r="L36" s="448"/>
      <c r="M36" s="448"/>
      <c r="N36" s="448"/>
      <c r="O36" s="448"/>
      <c r="P36" s="448"/>
      <c r="Q36" s="448"/>
      <c r="R36" s="448"/>
      <c r="S36" s="450"/>
    </row>
    <row r="37" spans="2:19" ht="21" thickTop="1">
      <c r="B37" s="255"/>
      <c r="C37" s="255"/>
      <c r="D37" s="255"/>
      <c r="E37" s="255"/>
      <c r="F37" s="255"/>
      <c r="G37" s="255"/>
      <c r="H37" s="255"/>
      <c r="I37" s="255"/>
      <c r="J37" s="255"/>
      <c r="K37" s="255"/>
      <c r="L37" s="255"/>
      <c r="M37" s="255"/>
      <c r="N37" s="255"/>
      <c r="O37" s="255"/>
      <c r="P37" s="255"/>
      <c r="Q37" s="255"/>
      <c r="R37" s="256"/>
      <c r="S37" s="231"/>
    </row>
    <row r="38" spans="2:19" ht="20.25">
      <c r="B38" s="257" t="s">
        <v>343</v>
      </c>
      <c r="C38" s="258"/>
      <c r="D38" s="258"/>
      <c r="E38" s="258"/>
      <c r="F38" s="258"/>
      <c r="G38" s="258"/>
      <c r="H38" s="258"/>
      <c r="I38" s="258"/>
      <c r="J38" s="258"/>
      <c r="K38" s="258"/>
      <c r="L38" s="258"/>
      <c r="M38" s="258"/>
      <c r="N38" s="258"/>
      <c r="O38" s="258"/>
      <c r="P38" s="258"/>
      <c r="Q38" s="258"/>
      <c r="R38" s="226"/>
      <c r="S38" s="231"/>
    </row>
    <row r="39" spans="2:19" ht="20.25">
      <c r="B39" s="258" t="s">
        <v>344</v>
      </c>
      <c r="C39" s="258"/>
      <c r="D39" s="258"/>
      <c r="E39" s="258"/>
      <c r="F39" s="258"/>
      <c r="G39" s="258"/>
      <c r="H39" s="258"/>
      <c r="I39" s="258"/>
      <c r="J39" s="258"/>
      <c r="K39" s="258"/>
      <c r="L39" s="259" t="s">
        <v>345</v>
      </c>
      <c r="M39" s="258" t="s">
        <v>346</v>
      </c>
      <c r="N39" s="260"/>
      <c r="O39" s="258"/>
      <c r="P39" s="258"/>
      <c r="Q39" s="258"/>
      <c r="R39" s="226"/>
      <c r="S39" s="231"/>
    </row>
    <row r="40" spans="2:19" ht="20.25">
      <c r="B40" s="258" t="s">
        <v>347</v>
      </c>
      <c r="C40" s="258"/>
      <c r="D40" s="258"/>
      <c r="E40" s="258"/>
      <c r="F40" s="258"/>
      <c r="G40" s="258"/>
      <c r="H40" s="258"/>
      <c r="I40" s="258"/>
      <c r="J40" s="258"/>
      <c r="K40" s="258"/>
      <c r="L40" s="258"/>
      <c r="M40" s="258" t="s">
        <v>348</v>
      </c>
      <c r="N40" s="258"/>
      <c r="O40" s="258"/>
      <c r="P40" s="258"/>
      <c r="Q40" s="258"/>
      <c r="R40" s="226"/>
      <c r="S40" s="231"/>
    </row>
    <row r="41" spans="2:19" ht="20.25">
      <c r="B41" s="259" t="s">
        <v>349</v>
      </c>
      <c r="C41" s="261" t="s">
        <v>350</v>
      </c>
      <c r="D41" s="231"/>
      <c r="E41" s="231"/>
      <c r="F41" s="262" t="s">
        <v>351</v>
      </c>
      <c r="G41" s="258" t="s">
        <v>352</v>
      </c>
      <c r="H41" s="258" t="s">
        <v>353</v>
      </c>
      <c r="I41" s="261"/>
      <c r="J41" s="231"/>
      <c r="K41" s="226" t="s">
        <v>354</v>
      </c>
      <c r="L41" s="263" t="s">
        <v>355</v>
      </c>
      <c r="M41" s="258" t="s">
        <v>356</v>
      </c>
      <c r="N41" s="258"/>
      <c r="O41" s="258"/>
      <c r="P41" s="258"/>
      <c r="Q41" s="258"/>
      <c r="R41" s="226"/>
      <c r="S41" s="231"/>
    </row>
    <row r="42" spans="2:19" ht="20.25">
      <c r="B42" s="259" t="s">
        <v>349</v>
      </c>
      <c r="C42" s="258" t="s">
        <v>357</v>
      </c>
      <c r="D42" s="258"/>
      <c r="E42" s="258"/>
      <c r="F42" s="226" t="s">
        <v>358</v>
      </c>
      <c r="G42" s="258" t="s">
        <v>359</v>
      </c>
      <c r="H42" s="258" t="s">
        <v>360</v>
      </c>
      <c r="I42" s="261"/>
      <c r="J42" s="231"/>
      <c r="K42" s="226" t="s">
        <v>354</v>
      </c>
      <c r="L42" s="263" t="s">
        <v>355</v>
      </c>
      <c r="M42" s="258"/>
      <c r="N42" s="258"/>
      <c r="O42" s="258"/>
      <c r="P42" s="258"/>
      <c r="Q42" s="258"/>
      <c r="R42" s="226"/>
      <c r="S42" s="231"/>
    </row>
    <row r="43" spans="2:19" ht="20.25">
      <c r="B43" s="259" t="s">
        <v>349</v>
      </c>
      <c r="C43" s="258" t="s">
        <v>361</v>
      </c>
      <c r="D43" s="258"/>
      <c r="E43" s="258"/>
      <c r="F43" s="226" t="s">
        <v>354</v>
      </c>
      <c r="G43" s="258" t="s">
        <v>355</v>
      </c>
      <c r="H43" s="258" t="s">
        <v>362</v>
      </c>
      <c r="I43" s="258"/>
      <c r="J43" s="258"/>
      <c r="K43" s="226" t="s">
        <v>354</v>
      </c>
      <c r="L43" s="258" t="s">
        <v>355</v>
      </c>
      <c r="M43" s="257" t="s">
        <v>363</v>
      </c>
      <c r="N43" s="258"/>
      <c r="O43" s="258"/>
      <c r="P43" s="258"/>
      <c r="Q43" s="258"/>
      <c r="R43" s="226"/>
      <c r="S43" s="231"/>
    </row>
    <row r="44" spans="2:19" ht="20.25">
      <c r="B44" s="259" t="s">
        <v>349</v>
      </c>
      <c r="C44" s="258" t="s">
        <v>364</v>
      </c>
      <c r="D44" s="258"/>
      <c r="E44" s="258"/>
      <c r="F44" s="226" t="s">
        <v>365</v>
      </c>
      <c r="G44" s="258" t="s">
        <v>355</v>
      </c>
      <c r="H44" s="258" t="s">
        <v>366</v>
      </c>
      <c r="I44" s="261"/>
      <c r="J44" s="231"/>
      <c r="K44" s="226" t="s">
        <v>354</v>
      </c>
      <c r="L44" s="263" t="s">
        <v>355</v>
      </c>
      <c r="M44" s="258" t="s">
        <v>367</v>
      </c>
      <c r="N44" s="258"/>
      <c r="O44" s="258"/>
      <c r="P44" s="258"/>
      <c r="Q44" s="258"/>
      <c r="R44" s="226"/>
      <c r="S44" s="231"/>
    </row>
    <row r="45" spans="2:19" ht="20.25">
      <c r="B45" s="259" t="s">
        <v>349</v>
      </c>
      <c r="C45" s="258" t="s">
        <v>368</v>
      </c>
      <c r="D45" s="258"/>
      <c r="E45" s="258"/>
      <c r="F45" s="226" t="s">
        <v>354</v>
      </c>
      <c r="G45" s="258" t="s">
        <v>355</v>
      </c>
      <c r="H45" s="258" t="s">
        <v>369</v>
      </c>
      <c r="I45" s="258"/>
      <c r="J45" s="258"/>
      <c r="K45" s="226" t="s">
        <v>370</v>
      </c>
      <c r="L45" s="258" t="s">
        <v>355</v>
      </c>
      <c r="M45" s="258" t="s">
        <v>371</v>
      </c>
      <c r="N45" s="258"/>
      <c r="O45" s="258"/>
      <c r="P45" s="258"/>
      <c r="Q45" s="258"/>
      <c r="R45" s="226"/>
      <c r="S45" s="231"/>
    </row>
    <row r="46" spans="2:19" ht="20.25">
      <c r="B46" s="259" t="s">
        <v>349</v>
      </c>
      <c r="C46" s="258" t="s">
        <v>372</v>
      </c>
      <c r="D46" s="258"/>
      <c r="E46" s="258"/>
      <c r="F46" s="226" t="s">
        <v>351</v>
      </c>
      <c r="G46" s="258" t="s">
        <v>359</v>
      </c>
      <c r="H46" s="261" t="s">
        <v>373</v>
      </c>
      <c r="I46" s="231"/>
      <c r="J46" s="231"/>
      <c r="K46" s="226" t="s">
        <v>370</v>
      </c>
      <c r="L46" s="258" t="s">
        <v>374</v>
      </c>
      <c r="M46" s="258"/>
      <c r="N46" s="258"/>
      <c r="O46" s="258"/>
      <c r="P46" s="258"/>
      <c r="Q46" s="258"/>
      <c r="R46" s="226"/>
      <c r="S46" s="231"/>
    </row>
  </sheetData>
  <mergeCells count="39">
    <mergeCell ref="C32:C33"/>
    <mergeCell ref="D32:D33"/>
    <mergeCell ref="E32:E33"/>
    <mergeCell ref="F32:F33"/>
    <mergeCell ref="G32:G33"/>
    <mergeCell ref="B2:S2"/>
    <mergeCell ref="B3:S3"/>
    <mergeCell ref="P32:P33"/>
    <mergeCell ref="B5:B7"/>
    <mergeCell ref="C5:D5"/>
    <mergeCell ref="C6:D6"/>
    <mergeCell ref="O34:O36"/>
    <mergeCell ref="P34:P36"/>
    <mergeCell ref="M32:M33"/>
    <mergeCell ref="H32:H33"/>
    <mergeCell ref="I32:I33"/>
    <mergeCell ref="J32:J33"/>
    <mergeCell ref="N32:N33"/>
    <mergeCell ref="O32:O33"/>
    <mergeCell ref="L32:L33"/>
    <mergeCell ref="K32:K33"/>
    <mergeCell ref="I34:I36"/>
    <mergeCell ref="J34:J36"/>
    <mergeCell ref="K34:K36"/>
    <mergeCell ref="L34:L36"/>
    <mergeCell ref="M34:M36"/>
    <mergeCell ref="N34:N36"/>
    <mergeCell ref="C34:C36"/>
    <mergeCell ref="D34:D36"/>
    <mergeCell ref="E34:E36"/>
    <mergeCell ref="F34:F36"/>
    <mergeCell ref="G34:G36"/>
    <mergeCell ref="H34:H36"/>
    <mergeCell ref="Q34:Q36"/>
    <mergeCell ref="R34:R36"/>
    <mergeCell ref="S34:S36"/>
    <mergeCell ref="R32:R33"/>
    <mergeCell ref="S32:S33"/>
    <mergeCell ref="Q32:Q33"/>
  </mergeCells>
  <printOptions horizontalCentered="1"/>
  <pageMargins left="0.11811023622047245" right="0.11811023622047245" top="0.78740157480314965" bottom="3.937007874015748E-2" header="0.43307086614173229" footer="0.11811023622047245"/>
  <pageSetup paperSize="256" scale="48" firstPageNumber="4294963191" orientation="landscape" horizontalDpi="4294967292" vertic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157255200</TotalTime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TEK TRANSMISI 18-19-20-21</vt:lpstr>
      <vt:lpstr>PELAYANAN 24 JAM 22-23-24-25</vt:lpstr>
      <vt:lpstr>TEK.Trans.Zona1</vt:lpstr>
      <vt:lpstr>PANJANG PIPA. Zona1</vt:lpstr>
      <vt:lpstr>D. Hrn</vt:lpstr>
      <vt:lpstr>'PANJANG PIPA. Zona1'!Print_Area</vt:lpstr>
      <vt:lpstr>'PELAYANAN 24 JAM 22-23-24-25'!Print_Area</vt:lpstr>
      <vt:lpstr>'TEK TRANSMISI 18-19-20-21'!Print_Area</vt:lpstr>
      <vt:lpstr>TEK.Trans.Zona1!Print_Area</vt:lpstr>
    </vt:vector>
  </TitlesOfParts>
  <Company>Acer Veriton</Company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lenovo</cp:lastModifiedBy>
  <cp:revision/>
  <cp:lastPrinted>2020-03-23T01:57:00Z</cp:lastPrinted>
  <dcterms:created xsi:type="dcterms:W3CDTF">2010-01-04T03:23:08Z</dcterms:created>
  <dcterms:modified xsi:type="dcterms:W3CDTF">2020-04-06T08:21:12Z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1033-6.6.0.2496</vt:lpwstr>
  </property>
</Properties>
</file>