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2018'!$A$2:$I$28</definedName>
  </definedNames>
  <calcPr calcId="125725"/>
</workbook>
</file>

<file path=xl/calcChain.xml><?xml version="1.0" encoding="utf-8"?>
<calcChain xmlns="http://schemas.openxmlformats.org/spreadsheetml/2006/main">
  <c r="A15" i="8"/>
  <c r="A16" s="1"/>
  <c r="P18"/>
  <c r="Q18" s="1"/>
  <c r="R18" s="1"/>
  <c r="S18" s="1"/>
  <c r="T18" l="1"/>
  <c r="U18" l="1"/>
  <c r="V18" l="1"/>
  <c r="W18" l="1"/>
  <c r="X18" l="1"/>
  <c r="A10" l="1"/>
  <c r="N10"/>
  <c r="H10"/>
  <c r="A12" l="1"/>
  <c r="A11"/>
  <c r="G14" i="15"/>
  <c r="N17" i="8" l="1"/>
  <c r="N9"/>
  <c r="K17"/>
  <c r="H17"/>
  <c r="K16"/>
  <c r="H16"/>
  <c r="K15"/>
  <c r="H15"/>
  <c r="D14"/>
  <c r="H14" s="1"/>
  <c r="K13"/>
  <c r="H13"/>
  <c r="H12"/>
  <c r="H11"/>
  <c r="A13"/>
  <c r="A14" s="1"/>
  <c r="M9"/>
  <c r="H9"/>
  <c r="AN35" i="14"/>
  <c r="AN32"/>
  <c r="AC35" s="1"/>
  <c r="R39" s="1"/>
  <c r="AC32"/>
  <c r="N11" i="8" l="1"/>
  <c r="N14" s="1"/>
  <c r="A17"/>
  <c r="I18"/>
  <c r="I19" s="1"/>
  <c r="N12" l="1"/>
  <c r="I20"/>
  <c r="K20" l="1"/>
  <c r="N18"/>
  <c r="N15"/>
  <c r="P19" l="1"/>
  <c r="P20" s="1"/>
  <c r="P21" s="1"/>
  <c r="R19"/>
  <c r="Q19"/>
  <c r="S19"/>
  <c r="T19"/>
  <c r="U19"/>
  <c r="V19"/>
  <c r="W19"/>
  <c r="X19"/>
  <c r="R20" l="1"/>
  <c r="R21" s="1"/>
  <c r="R22" s="1"/>
  <c r="X20"/>
  <c r="X21" s="1"/>
  <c r="X23" s="1"/>
  <c r="T20"/>
  <c r="T21" s="1"/>
  <c r="T22" s="1"/>
  <c r="W20"/>
  <c r="W21" s="1"/>
  <c r="W22" s="1"/>
  <c r="S20"/>
  <c r="S21" s="1"/>
  <c r="T23" s="1"/>
  <c r="U20"/>
  <c r="U21" s="1"/>
  <c r="V20"/>
  <c r="V21" s="1"/>
  <c r="Q20"/>
  <c r="Q21" s="1"/>
  <c r="P22" s="1"/>
  <c r="P24" s="1"/>
  <c r="R23" l="1"/>
  <c r="R24" s="1"/>
  <c r="S23"/>
  <c r="X22"/>
  <c r="X24" s="1"/>
  <c r="T24"/>
  <c r="S22"/>
  <c r="V22"/>
  <c r="V23"/>
  <c r="Q22"/>
  <c r="Q23"/>
  <c r="U23"/>
  <c r="U22"/>
  <c r="W23"/>
  <c r="W24" s="1"/>
  <c r="S24" l="1"/>
  <c r="V24"/>
  <c r="Q24"/>
  <c r="U24"/>
  <c r="N26" l="1"/>
  <c r="B20" s="1"/>
</calcChain>
</file>

<file path=xl/sharedStrings.xml><?xml version="1.0" encoding="utf-8"?>
<sst xmlns="http://schemas.openxmlformats.org/spreadsheetml/2006/main" count="82" uniqueCount="62">
  <si>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</si>
  <si>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</si>
  <si>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</si>
  <si>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</si>
  <si>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</si>
  <si>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</si>
  <si>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</si>
  <si>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</si>
  <si>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</si>
  <si>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</si>
  <si>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</si>
  <si>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</si>
  <si>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</si>
  <si>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</si>
  <si>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</si>
  <si>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</si>
  <si>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Ls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</si>
  <si>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</si>
  <si>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</si>
  <si>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</si>
  <si>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</si>
  <si>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</si>
  <si>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</si>
  <si>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</si>
  <si>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</si>
  <si>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</si>
  <si>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</si>
  <si>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</si>
  <si>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</si>
  <si>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</si>
  <si>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</si>
  <si>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</si>
  <si>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</si>
  <si>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</si>
  <si>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</si>
  <si>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</si>
  <si>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</si>
  <si>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</si>
  <si>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</si>
  <si>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Relay Omron MKS2P 220 Volt + Socket (Original) + Jasa pemasangan di panel pompa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</si>
  <si>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</si>
  <si>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</si>
  <si>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</si>
  <si>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</si>
  <si>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</si>
  <si>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</si>
  <si>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</si>
  <si>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roll</t>
  </si>
  <si>
    <t>PEMASANGAN DATA LOG SERVER</t>
  </si>
  <si>
    <t>Rupiah</t>
  </si>
  <si>
    <t>Bardi Smart Plug, 220V 16A (setara)</t>
  </si>
  <si>
    <t>Nurleli</t>
  </si>
  <si>
    <t>...........................................</t>
  </si>
  <si>
    <t>Kabid. ...........................................</t>
  </si>
  <si>
    <t>Kabel Eterna NYYHY 2 x 0.75 (1 roll = 50m)</t>
  </si>
  <si>
    <t>4G Wireless Router
Brand : TP-Link
Type : MR6400</t>
  </si>
  <si>
    <t>Controller Open Source ATMEL ATMega328P, 6ch Analog Input + 12ch Digital Input, termasuk perakitan dan pemrograman unit.</t>
  </si>
  <si>
    <t>Pc Desktop u/ server
Brand : Modified, Mini CPU
Type : Intel i5, 4GB Memory, 128 GB SSD</t>
  </si>
  <si>
    <t>LOKASI: PUMP STATION SUTRISNO</t>
  </si>
  <si>
    <t>Medan,     November 2021</t>
  </si>
  <si>
    <t>Iwan Hamsar Siregar</t>
  </si>
  <si>
    <t>Kadiv. Air Limbah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</si>
</sst>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30" fillId="0" borderId="0" applyFont="0" applyFill="0" applyBorder="0" applyAlignment="0" applyProtection="0"/>
  </cellStyleXfs>
  <cellXfs count="111">
    <xf numFmtId="0" fontId="0" fillId="0" borderId="0" xfId="0"/>
    <xf numFmtId="43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5" fontId="21" fillId="0" borderId="11" xfId="28" applyNumberFormat="1" applyFont="1" applyBorder="1" applyAlignment="1">
      <alignment horizontal="center" vertical="top"/>
    </xf>
    <xf numFmtId="164" fontId="21" fillId="0" borderId="11" xfId="28" applyNumberFormat="1" applyFont="1" applyBorder="1" applyAlignment="1">
      <alignment horizontal="center" vertical="top"/>
    </xf>
    <xf numFmtId="43" fontId="21" fillId="0" borderId="11" xfId="0" applyNumberFormat="1" applyFont="1" applyBorder="1" applyAlignment="1">
      <alignment vertical="top"/>
    </xf>
    <xf numFmtId="43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43" fontId="21" fillId="0" borderId="11" xfId="28" applyFont="1" applyBorder="1" applyAlignment="1">
      <alignment horizontal="center"/>
    </xf>
    <xf numFmtId="43" fontId="21" fillId="0" borderId="11" xfId="28" applyNumberFormat="1" applyFont="1" applyBorder="1"/>
    <xf numFmtId="43" fontId="21" fillId="0" borderId="10" xfId="28" applyNumberFormat="1" applyFont="1" applyBorder="1"/>
    <xf numFmtId="43" fontId="19" fillId="0" borderId="10" xfId="28" applyNumberFormat="1" applyFont="1" applyBorder="1"/>
    <xf numFmtId="43" fontId="19" fillId="0" borderId="10" xfId="0" applyNumberFormat="1" applyFont="1" applyBorder="1"/>
    <xf numFmtId="43" fontId="27" fillId="0" borderId="14" xfId="28" applyFont="1" applyBorder="1" applyAlignment="1">
      <alignment vertical="center"/>
    </xf>
    <xf numFmtId="43" fontId="27" fillId="0" borderId="12" xfId="28" applyFont="1" applyBorder="1" applyAlignment="1">
      <alignment vertical="center"/>
    </xf>
    <xf numFmtId="43" fontId="27" fillId="0" borderId="12" xfId="28" applyFont="1" applyBorder="1" applyAlignment="1">
      <alignment horizontal="center" vertical="center"/>
    </xf>
    <xf numFmtId="43" fontId="27" fillId="0" borderId="15" xfId="28" applyFont="1" applyBorder="1" applyAlignment="1">
      <alignment vertical="center"/>
    </xf>
    <xf numFmtId="0" fontId="19" fillId="0" borderId="13" xfId="0" applyFont="1" applyBorder="1"/>
    <xf numFmtId="43" fontId="27" fillId="0" borderId="16" xfId="28" applyFont="1" applyBorder="1" applyAlignment="1">
      <alignment vertical="center"/>
    </xf>
    <xf numFmtId="43" fontId="28" fillId="0" borderId="17" xfId="28" applyFont="1" applyBorder="1" applyAlignment="1">
      <alignment horizontal="left" vertical="center"/>
    </xf>
    <xf numFmtId="43" fontId="28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horizontal="center" vertical="center"/>
    </xf>
    <xf numFmtId="43" fontId="27" fillId="0" borderId="17" xfId="28" applyFont="1" applyBorder="1" applyAlignment="1">
      <alignment vertical="center"/>
    </xf>
    <xf numFmtId="43" fontId="27" fillId="0" borderId="18" xfId="28" applyFont="1" applyBorder="1" applyAlignment="1">
      <alignment vertical="center"/>
    </xf>
    <xf numFmtId="0" fontId="19" fillId="0" borderId="10" xfId="0" applyFont="1" applyBorder="1"/>
    <xf numFmtId="166" fontId="18" fillId="0" borderId="0" xfId="28" applyNumberFormat="1" applyFont="1" applyAlignment="1">
      <alignment vertical="top"/>
    </xf>
    <xf numFmtId="43" fontId="29" fillId="0" borderId="0" xfId="28" applyFont="1" applyBorder="1" applyAlignment="1">
      <alignment vertical="top"/>
    </xf>
    <xf numFmtId="41" fontId="31" fillId="24" borderId="0" xfId="44" applyFont="1" applyFill="1"/>
    <xf numFmtId="0" fontId="1" fillId="24" borderId="0" xfId="43" applyFont="1" applyFill="1" applyAlignment="1"/>
    <xf numFmtId="0" fontId="31" fillId="24" borderId="0" xfId="43" applyFont="1" applyFill="1" applyAlignment="1"/>
    <xf numFmtId="41" fontId="1" fillId="24" borderId="0" xfId="43" applyNumberFormat="1" applyFont="1" applyFill="1" applyAlignme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3" fillId="0" borderId="19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5388</xdr:row>
      <xdr:rowOff>9525</xdr:rowOff>
    </xdr:from>
    <xdr:to>
      <xdr:col>1</xdr:col>
      <xdr:colOff>593435</xdr:colOff>
      <xdr:row>5388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5477</xdr:row>
      <xdr:rowOff>161925</xdr:rowOff>
    </xdr:from>
    <xdr:to>
      <xdr:col>1</xdr:col>
      <xdr:colOff>541238</xdr:colOff>
      <xdr:row>5478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5532</xdr:row>
      <xdr:rowOff>0</xdr:rowOff>
    </xdr:from>
    <xdr:to>
      <xdr:col>1</xdr:col>
      <xdr:colOff>623534</xdr:colOff>
      <xdr:row>5532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5334</xdr:row>
      <xdr:rowOff>9525</xdr:rowOff>
    </xdr:from>
    <xdr:to>
      <xdr:col>1</xdr:col>
      <xdr:colOff>593435</xdr:colOff>
      <xdr:row>5334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5294</xdr:row>
      <xdr:rowOff>9525</xdr:rowOff>
    </xdr:from>
    <xdr:to>
      <xdr:col>1</xdr:col>
      <xdr:colOff>593435</xdr:colOff>
      <xdr:row>5294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5573</xdr:row>
      <xdr:rowOff>0</xdr:rowOff>
    </xdr:from>
    <xdr:to>
      <xdr:col>1</xdr:col>
      <xdr:colOff>474563</xdr:colOff>
      <xdr:row>5573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1081</xdr:row>
      <xdr:rowOff>180975</xdr:rowOff>
    </xdr:from>
    <xdr:to>
      <xdr:col>1</xdr:col>
      <xdr:colOff>4476750</xdr:colOff>
      <xdr:row>1084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1117</xdr:row>
      <xdr:rowOff>180975</xdr:rowOff>
    </xdr:from>
    <xdr:to>
      <xdr:col>1</xdr:col>
      <xdr:colOff>4476750</xdr:colOff>
      <xdr:row>1120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1189</xdr:row>
      <xdr:rowOff>180975</xdr:rowOff>
    </xdr:from>
    <xdr:to>
      <xdr:col>1</xdr:col>
      <xdr:colOff>4476750</xdr:colOff>
      <xdr:row>1192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1153</xdr:row>
      <xdr:rowOff>180975</xdr:rowOff>
    </xdr:from>
    <xdr:to>
      <xdr:col>1</xdr:col>
      <xdr:colOff>4476750</xdr:colOff>
      <xdr:row>1156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1228</xdr:row>
      <xdr:rowOff>72118</xdr:rowOff>
    </xdr:from>
    <xdr:to>
      <xdr:col>1</xdr:col>
      <xdr:colOff>3333751</xdr:colOff>
      <xdr:row>1229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8"/>
  <sheetViews>
    <sheetView tabSelected="1" workbookViewId="0">
      <selection activeCell="G28" sqref="G28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7" t="s">
        <v>17</v>
      </c>
      <c r="C2" s="97"/>
      <c r="D2" s="97"/>
      <c r="E2" s="97"/>
      <c r="F2" s="97"/>
      <c r="G2" s="97"/>
      <c r="H2" s="97"/>
      <c r="I2" s="97"/>
    </row>
    <row r="3" spans="1:14" ht="24.75" customHeight="1">
      <c r="A3" s="3"/>
      <c r="B3" s="98" t="s">
        <v>48</v>
      </c>
      <c r="C3" s="98"/>
      <c r="D3" s="98"/>
      <c r="E3" s="98"/>
      <c r="F3" s="98"/>
      <c r="G3" s="98"/>
      <c r="H3" s="98"/>
      <c r="I3" s="98"/>
    </row>
    <row r="4" spans="1:14" ht="26.25">
      <c r="A4" s="9"/>
      <c r="B4" s="99" t="s">
        <v>58</v>
      </c>
      <c r="C4" s="99"/>
      <c r="D4" s="99"/>
      <c r="E4" s="99"/>
      <c r="F4" s="99"/>
      <c r="G4" s="99"/>
      <c r="H4" s="99"/>
      <c r="I4" s="99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5" t="s">
        <v>0</v>
      </c>
      <c r="B6" s="107" t="s">
        <v>1</v>
      </c>
      <c r="C6" s="108"/>
      <c r="D6" s="105" t="s">
        <v>2</v>
      </c>
      <c r="E6" s="105" t="s">
        <v>3</v>
      </c>
      <c r="F6" s="105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6"/>
      <c r="B7" s="109"/>
      <c r="C7" s="110"/>
      <c r="D7" s="106"/>
      <c r="E7" s="106"/>
      <c r="F7" s="106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18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0" t="s">
        <v>56</v>
      </c>
      <c r="C9" s="101"/>
      <c r="D9" s="64">
        <v>1</v>
      </c>
      <c r="E9" s="63" t="s">
        <v>16</v>
      </c>
      <c r="F9" s="63" t="s">
        <v>16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102" t="s">
        <v>57</v>
      </c>
      <c r="C10" s="103"/>
      <c r="D10" s="64">
        <v>1</v>
      </c>
      <c r="E10" s="63" t="s">
        <v>43</v>
      </c>
      <c r="F10" s="63" t="s">
        <v>10</v>
      </c>
      <c r="G10" s="90">
        <v>5000000</v>
      </c>
      <c r="H10" s="65">
        <f>+G10*D10</f>
        <v>5000000</v>
      </c>
      <c r="I10" s="66"/>
      <c r="N10" s="67">
        <f>+N8/2.5</f>
        <v>0</v>
      </c>
    </row>
    <row r="11" spans="1:14" s="67" customFormat="1" ht="34.5" customHeight="1">
      <c r="A11" s="63">
        <f>+A10+1</f>
        <v>3</v>
      </c>
      <c r="B11" s="102" t="s">
        <v>50</v>
      </c>
      <c r="C11" s="103"/>
      <c r="D11" s="64">
        <v>1</v>
      </c>
      <c r="E11" s="63" t="s">
        <v>43</v>
      </c>
      <c r="F11" s="63" t="s">
        <v>10</v>
      </c>
      <c r="G11" s="65">
        <v>200000</v>
      </c>
      <c r="H11" s="65">
        <f>+G11*D11</f>
        <v>200000</v>
      </c>
      <c r="I11" s="66"/>
      <c r="N11" s="67">
        <f>+N9/2.5</f>
        <v>1056</v>
      </c>
    </row>
    <row r="12" spans="1:14" s="67" customFormat="1" ht="38.25" customHeight="1">
      <c r="A12" s="63">
        <f t="shared" ref="A12" si="0">+A11+1</f>
        <v>4</v>
      </c>
      <c r="B12" s="102" t="s">
        <v>39</v>
      </c>
      <c r="C12" s="103"/>
      <c r="D12" s="64">
        <v>3</v>
      </c>
      <c r="E12" s="63" t="s">
        <v>44</v>
      </c>
      <c r="F12" s="63" t="s">
        <v>10</v>
      </c>
      <c r="G12" s="65">
        <v>225000</v>
      </c>
      <c r="H12" s="65">
        <f>+G12*D12</f>
        <v>675000</v>
      </c>
      <c r="I12" s="66"/>
      <c r="N12" s="67">
        <f>+N11-220-100</f>
        <v>736</v>
      </c>
    </row>
    <row r="13" spans="1:14" s="67" customFormat="1" ht="48.75" customHeight="1">
      <c r="A13" s="63">
        <f t="shared" ref="A13" si="1">+A12+1</f>
        <v>5</v>
      </c>
      <c r="B13" s="102" t="s">
        <v>55</v>
      </c>
      <c r="C13" s="103"/>
      <c r="D13" s="64">
        <v>1</v>
      </c>
      <c r="E13" s="63" t="s">
        <v>46</v>
      </c>
      <c r="F13" s="63" t="s">
        <v>10</v>
      </c>
      <c r="G13" s="65">
        <v>1600000</v>
      </c>
      <c r="H13" s="65">
        <f t="shared" ref="H13" si="2">+G13*D13</f>
        <v>1600000</v>
      </c>
      <c r="I13" s="66"/>
      <c r="K13" s="67">
        <f>24*3*2</f>
        <v>144</v>
      </c>
    </row>
    <row r="14" spans="1:14" s="67" customFormat="1" ht="18" customHeight="1">
      <c r="A14" s="63">
        <f>+A13+1</f>
        <v>6</v>
      </c>
      <c r="B14" s="102" t="s">
        <v>40</v>
      </c>
      <c r="C14" s="103"/>
      <c r="D14" s="64">
        <f>+D11</f>
        <v>1</v>
      </c>
      <c r="E14" s="63" t="s">
        <v>32</v>
      </c>
      <c r="F14" s="63" t="s">
        <v>10</v>
      </c>
      <c r="G14" s="65">
        <v>500000</v>
      </c>
      <c r="H14" s="65">
        <f>G14*D14</f>
        <v>500000</v>
      </c>
      <c r="I14" s="66"/>
      <c r="N14" s="89">
        <f>12/N11</f>
        <v>1.1363636363636364E-2</v>
      </c>
    </row>
    <row r="15" spans="1:14" s="67" customFormat="1" ht="18" customHeight="1">
      <c r="A15" s="63">
        <f t="shared" ref="A15:A16" si="3">+A14+1</f>
        <v>7</v>
      </c>
      <c r="B15" s="102" t="s">
        <v>41</v>
      </c>
      <c r="C15" s="103"/>
      <c r="D15" s="64">
        <v>30</v>
      </c>
      <c r="E15" s="63" t="s">
        <v>45</v>
      </c>
      <c r="F15" s="63" t="s">
        <v>10</v>
      </c>
      <c r="G15" s="65">
        <v>5000</v>
      </c>
      <c r="H15" s="65">
        <f t="shared" ref="H15:H17" si="4">+G15*D15</f>
        <v>150000</v>
      </c>
      <c r="I15" s="66"/>
      <c r="K15" s="67">
        <f>24*3*2</f>
        <v>144</v>
      </c>
      <c r="N15" s="67">
        <f>+N14*N14*N12</f>
        <v>9.5041322314049589E-2</v>
      </c>
    </row>
    <row r="16" spans="1:14" s="67" customFormat="1" ht="19.5" customHeight="1">
      <c r="A16" s="63">
        <f t="shared" si="3"/>
        <v>8</v>
      </c>
      <c r="B16" s="104" t="s">
        <v>54</v>
      </c>
      <c r="C16" s="103"/>
      <c r="D16" s="64">
        <v>1</v>
      </c>
      <c r="E16" s="63" t="s">
        <v>47</v>
      </c>
      <c r="F16" s="63" t="s">
        <v>10</v>
      </c>
      <c r="G16" s="65">
        <v>300000</v>
      </c>
      <c r="H16" s="65">
        <f t="shared" si="4"/>
        <v>300000</v>
      </c>
      <c r="I16" s="66"/>
      <c r="K16" s="67">
        <f>24*3*2</f>
        <v>144</v>
      </c>
    </row>
    <row r="17" spans="1:24" s="67" customFormat="1" ht="36" customHeight="1">
      <c r="A17" s="63">
        <f t="shared" ref="A17" si="5">+A16+1</f>
        <v>9</v>
      </c>
      <c r="B17" s="100" t="s">
        <v>42</v>
      </c>
      <c r="C17" s="101"/>
      <c r="D17" s="64">
        <v>1</v>
      </c>
      <c r="E17" s="63" t="s">
        <v>16</v>
      </c>
      <c r="F17" s="63" t="s">
        <v>16</v>
      </c>
      <c r="G17" s="65">
        <v>300000</v>
      </c>
      <c r="H17" s="65">
        <f t="shared" si="4"/>
        <v>300000</v>
      </c>
      <c r="I17" s="66"/>
      <c r="K17" s="67">
        <f>24*3*2</f>
        <v>144</v>
      </c>
      <c r="N17" s="67">
        <f>12*220/(220+100+1000)</f>
        <v>2</v>
      </c>
    </row>
    <row r="18" spans="1:24" ht="15.75">
      <c r="A18" s="71"/>
      <c r="B18" s="69"/>
      <c r="C18" s="70"/>
      <c r="D18" s="72"/>
      <c r="E18" s="68"/>
      <c r="F18" s="68"/>
      <c r="G18" s="73"/>
      <c r="H18" s="74"/>
      <c r="I18" s="75">
        <f>SUM(H9:H18)</f>
        <v>22725000</v>
      </c>
      <c r="N18" s="91">
        <f>I20</f>
        <v>22725000</v>
      </c>
      <c r="O18" s="92">
        <v>1</v>
      </c>
      <c r="P18" s="92">
        <f>+O18*10</f>
        <v>10</v>
      </c>
      <c r="Q18" s="92">
        <f t="shared" ref="Q18:X18" si="6">+P18*10</f>
        <v>100</v>
      </c>
      <c r="R18" s="92">
        <f t="shared" si="6"/>
        <v>1000</v>
      </c>
      <c r="S18" s="92">
        <f t="shared" si="6"/>
        <v>10000</v>
      </c>
      <c r="T18" s="92">
        <f t="shared" si="6"/>
        <v>100000</v>
      </c>
      <c r="U18" s="92">
        <f t="shared" si="6"/>
        <v>1000000</v>
      </c>
      <c r="V18" s="92">
        <f t="shared" si="6"/>
        <v>10000000</v>
      </c>
      <c r="W18" s="92">
        <f t="shared" si="6"/>
        <v>100000000</v>
      </c>
      <c r="X18" s="92">
        <f t="shared" si="6"/>
        <v>1000000000</v>
      </c>
    </row>
    <row r="19" spans="1:24" ht="15.75">
      <c r="A19" s="77"/>
      <c r="B19" s="78" t="s">
        <v>19</v>
      </c>
      <c r="C19" s="78"/>
      <c r="D19" s="79"/>
      <c r="E19" s="78"/>
      <c r="F19" s="78"/>
      <c r="G19" s="80"/>
      <c r="H19" s="81" t="s">
        <v>11</v>
      </c>
      <c r="I19" s="7">
        <f>+I18</f>
        <v>22725000</v>
      </c>
      <c r="N19" s="93" t="s">
        <v>49</v>
      </c>
      <c r="O19" s="92">
        <v>0</v>
      </c>
      <c r="P19" s="94">
        <f>MOD(N18,P18)</f>
        <v>0</v>
      </c>
      <c r="Q19" s="94">
        <f>MOD(N18,Q18)</f>
        <v>0</v>
      </c>
      <c r="R19" s="94">
        <f>MOD(N18,R18)</f>
        <v>0</v>
      </c>
      <c r="S19" s="94">
        <f>MOD(N18,S18)</f>
        <v>5000</v>
      </c>
      <c r="T19" s="94">
        <f>MOD(N18,T18)</f>
        <v>25000</v>
      </c>
      <c r="U19" s="94">
        <f>MOD(N18,U18)</f>
        <v>725000</v>
      </c>
      <c r="V19" s="94">
        <f>MOD(N18,V18)</f>
        <v>2725000</v>
      </c>
      <c r="W19" s="94">
        <f>MOD(N18,W18)</f>
        <v>22725000</v>
      </c>
      <c r="X19" s="94">
        <f>MOD(N18,X18)</f>
        <v>22725000</v>
      </c>
    </row>
    <row r="20" spans="1:24" ht="15.75">
      <c r="A20" s="82"/>
      <c r="B20" s="83" t="str">
        <f>N26</f>
        <v>Dua Puluh Dua Juta Tujuh Ratus Dua Puluh Lima Ribu Rupiah</v>
      </c>
      <c r="C20" s="84"/>
      <c r="D20" s="85"/>
      <c r="E20" s="86"/>
      <c r="F20" s="86"/>
      <c r="G20" s="87"/>
      <c r="H20" s="88" t="s">
        <v>12</v>
      </c>
      <c r="I20" s="76">
        <f>ROUND(I19,-3)</f>
        <v>22725000</v>
      </c>
      <c r="K20" s="1">
        <f>25000000-I20</f>
        <v>2275000</v>
      </c>
      <c r="N20" s="92"/>
      <c r="O20" s="92"/>
      <c r="P20" s="92">
        <f t="shared" ref="P20:U20" si="7">+P19-O19</f>
        <v>0</v>
      </c>
      <c r="Q20" s="92">
        <f t="shared" si="7"/>
        <v>0</v>
      </c>
      <c r="R20" s="92">
        <f t="shared" si="7"/>
        <v>0</v>
      </c>
      <c r="S20" s="92">
        <f t="shared" si="7"/>
        <v>5000</v>
      </c>
      <c r="T20" s="92">
        <f t="shared" si="7"/>
        <v>20000</v>
      </c>
      <c r="U20" s="92">
        <f t="shared" si="7"/>
        <v>700000</v>
      </c>
      <c r="V20" s="92">
        <f>+V19-U19</f>
        <v>2000000</v>
      </c>
      <c r="W20" s="92">
        <f t="shared" ref="W20:X20" si="8">+W19-V19</f>
        <v>20000000</v>
      </c>
      <c r="X20" s="92">
        <f t="shared" si="8"/>
        <v>0</v>
      </c>
    </row>
    <row r="21" spans="1:24" ht="15.75">
      <c r="A21" s="2"/>
      <c r="B21" s="2"/>
      <c r="C21" s="2"/>
      <c r="D21" s="14"/>
      <c r="E21" s="2"/>
      <c r="F21" s="2"/>
      <c r="G21" s="2"/>
      <c r="H21" s="2"/>
      <c r="I21" s="2"/>
      <c r="N21" s="92"/>
      <c r="O21" s="92"/>
      <c r="P21" s="92">
        <f t="shared" ref="P21:U21" si="9">+P20*10/P18</f>
        <v>0</v>
      </c>
      <c r="Q21" s="92">
        <f t="shared" si="9"/>
        <v>0</v>
      </c>
      <c r="R21" s="92">
        <f t="shared" si="9"/>
        <v>0</v>
      </c>
      <c r="S21" s="92">
        <f t="shared" si="9"/>
        <v>5</v>
      </c>
      <c r="T21" s="92">
        <f t="shared" si="9"/>
        <v>2</v>
      </c>
      <c r="U21" s="92">
        <f t="shared" si="9"/>
        <v>7</v>
      </c>
      <c r="V21" s="92">
        <f>+V20*10/V18</f>
        <v>2</v>
      </c>
      <c r="W21" s="92">
        <f t="shared" ref="W21:X21" si="10">+W20*10/W18</f>
        <v>2</v>
      </c>
      <c r="X21" s="92">
        <f t="shared" si="10"/>
        <v>0</v>
      </c>
    </row>
    <row r="22" spans="1:24" ht="15.75">
      <c r="A22" s="2"/>
      <c r="B22" s="2"/>
      <c r="C22" s="2"/>
      <c r="D22" s="17"/>
      <c r="E22" s="2"/>
      <c r="F22" s="2"/>
      <c r="G22" s="2"/>
      <c r="H22" s="95" t="s">
        <v>59</v>
      </c>
      <c r="I22" s="95"/>
      <c r="N22" s="92"/>
      <c r="O22" s="92"/>
      <c r="P22" s="92" t="str">
        <f>IF(AND(P21&gt;0,Q21&lt;&gt;1),CHOOSE(P21,"satu","dua","tiga","empat","lima","enam","tujuh","delapan","sembilan"),"")</f>
        <v/>
      </c>
      <c r="Q22" s="92" t="str">
        <f>IF(Q21&gt;0,CHOOSE(Q21,CHOOSE(P21+1,"se","se","dua","tiga","empat","lima","enam","tujuh","delapan","sembilan"),"dua","tiga","empat","lima","enam","tujuh","delapan","sembilan"),"")</f>
        <v/>
      </c>
      <c r="R22" s="92" t="str">
        <f>IF(R21&gt;0,CHOOSE(R21,"se","dua","tiga","empat","lima","enam","tujuh","delapan","sembilan"),"")</f>
        <v/>
      </c>
      <c r="S22" s="92" t="str">
        <f>IF(AND(S21&gt;0,T21&lt;&gt;1),CHOOSE(S21,"satu","dua","tiga","empat","lima","enam","tujuh","delapan","sembilan"),"")</f>
        <v>lima</v>
      </c>
      <c r="T22" s="92" t="str">
        <f>IF(T21&gt;0,CHOOSE(T21,CHOOSE(S21+1,"se","se","dua","tiga","empat","lima","enam","tujuh","delapan","sembilan"),"dua","tiga","empat","lima","enam","tujuh","delapan","sembilan"),"")</f>
        <v>dua</v>
      </c>
      <c r="U22" s="92" t="str">
        <f>IF(U21&gt;0,CHOOSE(U21,"se","dua","tiga","empat","lima","enam","tujuh","delapan","sembilan"),"")</f>
        <v>tujuh</v>
      </c>
      <c r="V22" s="92" t="str">
        <f>IF(AND(V21&gt;0,W21&lt;&gt;1),CHOOSE(V21,"satu","dua","tiga","empat","lima","enam","tujuh","delapan","sembilan"),"")</f>
        <v>dua</v>
      </c>
      <c r="W22" s="92" t="str">
        <f>IF(W21&gt;0,CHOOSE(W21,CHOOSE(V21+1,"","se","dua","tiga","empat","lima","enam","tujuh","delapan","sembilan"),"dua","tiga","empat","lima","enam","tujuh","delapan","sembilan"),"")</f>
        <v>dua</v>
      </c>
      <c r="X22" s="92" t="str">
        <f>IF(X21&gt;0,CHOOSE(X21,"se","dua","tiga","empat","lima","enam","tujuh","delapan","sembilan"),"")</f>
        <v/>
      </c>
    </row>
    <row r="23" spans="1:24" ht="15.75">
      <c r="A23" s="95" t="s">
        <v>13</v>
      </c>
      <c r="B23" s="95"/>
      <c r="C23" s="95"/>
      <c r="D23" s="95" t="s">
        <v>14</v>
      </c>
      <c r="E23" s="95"/>
      <c r="F23" s="95"/>
      <c r="G23" s="2"/>
      <c r="H23" s="95" t="s">
        <v>15</v>
      </c>
      <c r="I23" s="95"/>
      <c r="N23" s="92"/>
      <c r="O23" s="92"/>
      <c r="P23" s="92"/>
      <c r="Q23" s="92" t="str">
        <f>IF(Q21&gt;0,IF(AND(Q21=1,P21&gt;0)," belas "," puluh "),"")</f>
        <v/>
      </c>
      <c r="R23" s="92" t="str">
        <f>IF(R21&gt;0," ratus ","")</f>
        <v/>
      </c>
      <c r="S23" s="92" t="str">
        <f>IF(SUM(S21,U21)&gt;0," ribu ","")</f>
        <v xml:space="preserve"> ribu </v>
      </c>
      <c r="T23" s="92" t="str">
        <f>IF(T21&gt;0,IF(AND(T21=1,S21&gt;0)," belas "," puluh "),"")</f>
        <v xml:space="preserve"> puluh </v>
      </c>
      <c r="U23" s="92" t="str">
        <f>IF(U21&gt;0," ratus ","")</f>
        <v xml:space="preserve"> ratus </v>
      </c>
      <c r="V23" s="92" t="str">
        <f>IF(SUM(V21,X21)&gt;0," juta ","")</f>
        <v xml:space="preserve"> juta </v>
      </c>
      <c r="W23" s="92" t="str">
        <f>IF(W21&gt;0,IF(AND(W21=1,V21&gt;0)," belas "," puluh "),"")</f>
        <v xml:space="preserve"> puluh </v>
      </c>
      <c r="X23" s="92" t="str">
        <f>IF(X21&gt;0," ratus ","")</f>
        <v/>
      </c>
    </row>
    <row r="24" spans="1:24" ht="15.75">
      <c r="A24" s="2"/>
      <c r="B24" s="2"/>
      <c r="C24" s="2"/>
      <c r="D24" s="17"/>
      <c r="E24" s="2"/>
      <c r="F24" s="2"/>
      <c r="G24" s="2"/>
      <c r="H24" s="2"/>
      <c r="I24" s="2"/>
      <c r="N24" s="92"/>
      <c r="O24" s="92"/>
      <c r="P24" s="92" t="str">
        <f>CONCATENATE(P22,P17)</f>
        <v/>
      </c>
      <c r="Q24" s="92" t="str">
        <f t="shared" ref="Q24:X24" si="11">CONCATENATE(Q22,Q23)</f>
        <v/>
      </c>
      <c r="R24" s="92" t="str">
        <f t="shared" si="11"/>
        <v/>
      </c>
      <c r="S24" s="92" t="str">
        <f t="shared" si="11"/>
        <v xml:space="preserve">lima ribu </v>
      </c>
      <c r="T24" s="92" t="str">
        <f t="shared" si="11"/>
        <v xml:space="preserve">dua puluh </v>
      </c>
      <c r="U24" s="92" t="str">
        <f t="shared" si="11"/>
        <v xml:space="preserve">tujuh ratus </v>
      </c>
      <c r="V24" s="92" t="str">
        <f t="shared" si="11"/>
        <v xml:space="preserve">dua juta </v>
      </c>
      <c r="W24" s="92" t="str">
        <f t="shared" si="11"/>
        <v xml:space="preserve">dua puluh </v>
      </c>
      <c r="X24" s="92" t="str">
        <f t="shared" si="11"/>
        <v/>
      </c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</row>
    <row r="26" spans="1:24" ht="15.75">
      <c r="A26" s="2"/>
      <c r="B26" s="2"/>
      <c r="C26" s="2"/>
      <c r="D26" s="14"/>
      <c r="E26" s="2"/>
      <c r="F26" s="2"/>
      <c r="G26" s="2"/>
      <c r="H26" s="2"/>
      <c r="I26" s="2"/>
      <c r="N26" s="93" t="str">
        <f>PROPER(CONCATENATE(X24,W24,V24,U24,T24,S24,R24,Q24,P24,N19))</f>
        <v>Dua Puluh Dua Juta Tujuh Ratus Dua Puluh Lima Ribu Rupiah</v>
      </c>
      <c r="O26" s="92"/>
      <c r="P26" s="92"/>
      <c r="Q26" s="92"/>
      <c r="R26" s="92"/>
      <c r="S26" s="92"/>
      <c r="T26" s="92"/>
      <c r="U26" s="92"/>
      <c r="V26" s="92"/>
      <c r="W26" s="92"/>
      <c r="X26" s="92"/>
    </row>
    <row r="27" spans="1:24" ht="15.75">
      <c r="A27" s="96" t="s">
        <v>51</v>
      </c>
      <c r="B27" s="96"/>
      <c r="C27" s="96"/>
      <c r="D27" s="96" t="s">
        <v>60</v>
      </c>
      <c r="E27" s="96"/>
      <c r="F27" s="96"/>
      <c r="G27" s="2"/>
      <c r="H27" s="96" t="s">
        <v>52</v>
      </c>
      <c r="I27" s="96"/>
    </row>
    <row r="28" spans="1:24" ht="15.75">
      <c r="A28" s="95" t="s">
        <v>20</v>
      </c>
      <c r="B28" s="95"/>
      <c r="C28" s="95"/>
      <c r="D28" s="95" t="s">
        <v>61</v>
      </c>
      <c r="E28" s="95"/>
      <c r="F28" s="95"/>
      <c r="G28" s="2"/>
      <c r="H28" s="95" t="s">
        <v>53</v>
      </c>
      <c r="I28" s="95"/>
    </row>
  </sheetData>
  <mergeCells count="27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7:C17"/>
    <mergeCell ref="B11:C11"/>
    <mergeCell ref="B12:C12"/>
    <mergeCell ref="B13:C13"/>
    <mergeCell ref="B14:C14"/>
    <mergeCell ref="B15:C15"/>
    <mergeCell ref="B16:C16"/>
    <mergeCell ref="B10:C10"/>
    <mergeCell ref="H22:I22"/>
    <mergeCell ref="A23:C23"/>
    <mergeCell ref="D23:F23"/>
    <mergeCell ref="H23:I23"/>
    <mergeCell ref="A28:C28"/>
    <mergeCell ref="D28:F28"/>
    <mergeCell ref="H28:I28"/>
    <mergeCell ref="A27:C27"/>
    <mergeCell ref="D27:F27"/>
    <mergeCell ref="H27:I2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31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21</v>
      </c>
      <c r="AB31" s="57" t="s">
        <v>22</v>
      </c>
      <c r="AH31" s="56" t="s">
        <v>25</v>
      </c>
      <c r="AM31" s="57" t="s">
        <v>26</v>
      </c>
    </row>
    <row r="32" spans="11:47" ht="19.5" customHeight="1">
      <c r="AB32" s="57" t="s">
        <v>23</v>
      </c>
      <c r="AC32" s="28">
        <f>7.8*3</f>
        <v>23.4</v>
      </c>
      <c r="AD32" s="62" t="s">
        <v>24</v>
      </c>
      <c r="AM32" s="57" t="s">
        <v>23</v>
      </c>
      <c r="AN32" s="28">
        <f>4*((2*0.18*0.92)+(2*0.18*1.7))</f>
        <v>3.7728000000000002</v>
      </c>
      <c r="AO32" s="62" t="s">
        <v>24</v>
      </c>
    </row>
    <row r="34" spans="13:41" ht="19.5" customHeight="1">
      <c r="AH34" s="56" t="s">
        <v>27</v>
      </c>
      <c r="AM34" s="57" t="s">
        <v>30</v>
      </c>
    </row>
    <row r="35" spans="13:41" ht="19.5" customHeight="1">
      <c r="Y35" s="58" t="s">
        <v>29</v>
      </c>
      <c r="Z35" s="58"/>
      <c r="AA35" s="58"/>
      <c r="AB35" s="59" t="s">
        <v>23</v>
      </c>
      <c r="AC35" s="61">
        <f>+AC32+AN32+AN35</f>
        <v>37.972799999999999</v>
      </c>
      <c r="AD35" s="62" t="s">
        <v>24</v>
      </c>
      <c r="AH35" s="56" t="s">
        <v>28</v>
      </c>
      <c r="AM35" s="57" t="s">
        <v>23</v>
      </c>
      <c r="AN35" s="28">
        <f>+(2*0.5*3)+(2*0.5*7.8)</f>
        <v>10.8</v>
      </c>
      <c r="AO35" s="62" t="s">
        <v>24</v>
      </c>
    </row>
    <row r="37" spans="13:41" ht="19.5" customHeight="1">
      <c r="M37" s="56" t="s">
        <v>34</v>
      </c>
    </row>
    <row r="38" spans="13:41" ht="19.5" customHeight="1">
      <c r="M38" s="56" t="s">
        <v>35</v>
      </c>
      <c r="Q38" s="57" t="s">
        <v>23</v>
      </c>
      <c r="R38" s="56" t="s">
        <v>36</v>
      </c>
    </row>
    <row r="39" spans="13:41" ht="19.5" customHeight="1">
      <c r="Q39" s="57" t="s">
        <v>23</v>
      </c>
      <c r="R39">
        <f>(AC35*3)/6</f>
        <v>18.9864</v>
      </c>
      <c r="S39" s="56" t="s">
        <v>33</v>
      </c>
      <c r="T39" s="56" t="s">
        <v>37</v>
      </c>
      <c r="X39" s="56" t="s">
        <v>38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2020-08-24T05:39:50Z</cp:lastPrinted>
  <dcterms:created xsi:type="dcterms:W3CDTF">2012-03-21T04:38:16Z</dcterms:created>
  <dcterms:modified xsi:type="dcterms:W3CDTF">2022-01-10T02:42:21Z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