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DFAEB25D-E754-4E5D-9130-5317D84AE130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BreakDown Tangki" sheetId="11" r:id="rId1"/>
    <sheet name="rab 2018" sheetId="8" r:id="rId2"/>
    <sheet name="Alas Dasar" sheetId="9" r:id="rId3"/>
  </sheets>
  <definedNames>
    <definedName name="_xlnm.Print_Area" localSheetId="2">'Alas Dasar'!$B$2:$R$155</definedName>
    <definedName name="_xlnm.Print_Area" localSheetId="0">'BreakDown Tangki'!$D$1:$R$51</definedName>
    <definedName name="_xlnm.Print_Area" localSheetId="1">'rab 2018'!$A$2:$I$21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8" l="1"/>
  <c r="S18" i="8"/>
  <c r="T18" i="8"/>
  <c r="U18" i="8" s="1"/>
  <c r="V18" i="8" s="1"/>
  <c r="W18" i="8" s="1"/>
  <c r="X18" i="8" s="1"/>
  <c r="Y18" i="8" s="1"/>
  <c r="Z18" i="8" s="1"/>
  <c r="J10" i="8"/>
  <c r="J9" i="8"/>
  <c r="Z52" i="11"/>
  <c r="AF40" i="11"/>
  <c r="AF41" i="11"/>
  <c r="AF42" i="11"/>
  <c r="AF52" i="11" s="1"/>
  <c r="AF43" i="11"/>
  <c r="AF45" i="11"/>
  <c r="AF47" i="11"/>
  <c r="AF48" i="11"/>
  <c r="AF39" i="11"/>
  <c r="AA52" i="11"/>
  <c r="X52" i="11"/>
  <c r="W52" i="11"/>
  <c r="S45" i="11"/>
  <c r="Q45" i="11"/>
  <c r="P45" i="11"/>
  <c r="O45" i="11"/>
  <c r="R45" i="11" s="1"/>
  <c r="U45" i="11" s="1"/>
  <c r="Y52" i="11"/>
  <c r="S51" i="11"/>
  <c r="Q51" i="11"/>
  <c r="P51" i="11"/>
  <c r="O51" i="11"/>
  <c r="R51" i="11" s="1"/>
  <c r="U51" i="11" s="1"/>
  <c r="S50" i="11"/>
  <c r="Q50" i="11"/>
  <c r="P50" i="11"/>
  <c r="O50" i="11"/>
  <c r="S48" i="11"/>
  <c r="P48" i="11"/>
  <c r="R48" i="11" s="1"/>
  <c r="U48" i="11" s="1"/>
  <c r="S47" i="11"/>
  <c r="P47" i="11"/>
  <c r="Q48" i="11"/>
  <c r="O48" i="11"/>
  <c r="Q47" i="11"/>
  <c r="O47" i="11"/>
  <c r="R47" i="11" s="1"/>
  <c r="U47" i="11" s="1"/>
  <c r="S43" i="11"/>
  <c r="Q43" i="11"/>
  <c r="P43" i="11"/>
  <c r="O43" i="11"/>
  <c r="R43" i="11"/>
  <c r="U43" i="11"/>
  <c r="V43" i="11" s="1"/>
  <c r="S42" i="11"/>
  <c r="Q42" i="11"/>
  <c r="P42" i="11"/>
  <c r="O42" i="11"/>
  <c r="R42" i="11"/>
  <c r="U42" i="11"/>
  <c r="AB42" i="11" s="1"/>
  <c r="S41" i="11"/>
  <c r="S40" i="11"/>
  <c r="S39" i="11"/>
  <c r="D40" i="11"/>
  <c r="D41" i="11"/>
  <c r="D42" i="11"/>
  <c r="D43" i="11"/>
  <c r="D50" i="11"/>
  <c r="D51" i="11"/>
  <c r="Q41" i="11"/>
  <c r="R41" i="11" s="1"/>
  <c r="U41" i="11" s="1"/>
  <c r="P41" i="11"/>
  <c r="O41" i="11"/>
  <c r="Q40" i="11"/>
  <c r="P40" i="11"/>
  <c r="O40" i="11"/>
  <c r="R40" i="11" s="1"/>
  <c r="U40" i="11" s="1"/>
  <c r="Q39" i="11"/>
  <c r="P39" i="11"/>
  <c r="O39" i="11"/>
  <c r="R39" i="11" s="1"/>
  <c r="U39" i="11" s="1"/>
  <c r="H9" i="8"/>
  <c r="N9" i="8"/>
  <c r="M9" i="8"/>
  <c r="R50" i="11"/>
  <c r="U50" i="11" s="1"/>
  <c r="H10" i="8"/>
  <c r="V39" i="11" l="1"/>
  <c r="AC39" i="11"/>
  <c r="AB39" i="11"/>
  <c r="AC41" i="11"/>
  <c r="AB41" i="11"/>
  <c r="V41" i="11"/>
  <c r="V51" i="11"/>
  <c r="AC51" i="11"/>
  <c r="AE51" i="11" s="1"/>
  <c r="AC40" i="11"/>
  <c r="V40" i="11"/>
  <c r="AB40" i="11"/>
  <c r="V50" i="11"/>
  <c r="AC50" i="11"/>
  <c r="AE50" i="11" s="1"/>
  <c r="AB48" i="11"/>
  <c r="AC48" i="11"/>
  <c r="V48" i="11"/>
  <c r="V47" i="11"/>
  <c r="AB47" i="11"/>
  <c r="AC47" i="11"/>
  <c r="AB45" i="11"/>
  <c r="V45" i="11"/>
  <c r="AC45" i="11"/>
  <c r="V42" i="11"/>
  <c r="AC43" i="11"/>
  <c r="AB43" i="11"/>
  <c r="AC42" i="11"/>
  <c r="K10" i="8"/>
  <c r="I11" i="8"/>
  <c r="I12" i="8" s="1"/>
  <c r="I13" i="8" s="1"/>
  <c r="P18" i="8" s="1"/>
  <c r="U19" i="8" s="1"/>
  <c r="K9" i="8"/>
  <c r="AC52" i="11" l="1"/>
  <c r="V52" i="11"/>
  <c r="AD51" i="11"/>
  <c r="AF51" i="11" s="1"/>
  <c r="W51" i="11"/>
  <c r="K11" i="8"/>
  <c r="W50" i="11"/>
  <c r="AD50" i="11"/>
  <c r="AF50" i="11" s="1"/>
  <c r="AB52" i="11"/>
  <c r="X19" i="8"/>
  <c r="W19" i="8"/>
  <c r="T19" i="8"/>
  <c r="Z19" i="8"/>
  <c r="Y19" i="8"/>
  <c r="S19" i="8"/>
  <c r="V19" i="8"/>
  <c r="V20" i="8" s="1"/>
  <c r="V21" i="8" s="1"/>
  <c r="V22" i="8" s="1"/>
  <c r="R19" i="8"/>
  <c r="R20" i="8" s="1"/>
  <c r="R21" i="8" s="1"/>
  <c r="Z20" i="8" l="1"/>
  <c r="Z21" i="8" s="1"/>
  <c r="W20" i="8"/>
  <c r="W21" i="8" s="1"/>
  <c r="W23" i="8" s="1"/>
  <c r="S20" i="8"/>
  <c r="S21" i="8" s="1"/>
  <c r="Z51" i="11"/>
  <c r="X51" i="11"/>
  <c r="W22" i="8"/>
  <c r="W24" i="8" s="1"/>
  <c r="X20" i="8"/>
  <c r="X21" i="8" s="1"/>
  <c r="X22" i="8" s="1"/>
  <c r="X50" i="11"/>
  <c r="Z50" i="11"/>
  <c r="T20" i="8"/>
  <c r="T21" i="8" s="1"/>
  <c r="T22" i="8" s="1"/>
  <c r="U20" i="8"/>
  <c r="U21" i="8" s="1"/>
  <c r="U22" i="8" s="1"/>
  <c r="Y20" i="8"/>
  <c r="Y21" i="8" s="1"/>
  <c r="X23" i="8"/>
  <c r="V23" i="8"/>
  <c r="V24" i="8" s="1"/>
  <c r="Z23" i="8" l="1"/>
  <c r="Z22" i="8"/>
  <c r="Z24" i="8" s="1"/>
  <c r="X24" i="8"/>
  <c r="AA50" i="11"/>
  <c r="Y50" i="11"/>
  <c r="AB50" i="11" s="1"/>
  <c r="R22" i="8"/>
  <c r="R24" i="8" s="1"/>
  <c r="S23" i="8"/>
  <c r="S22" i="8"/>
  <c r="S24" i="8" s="1"/>
  <c r="T23" i="8"/>
  <c r="T24" i="8" s="1"/>
  <c r="Y51" i="11"/>
  <c r="AB51" i="11" s="1"/>
  <c r="AA51" i="11"/>
  <c r="Y23" i="8"/>
  <c r="Y22" i="8"/>
  <c r="U23" i="8"/>
  <c r="U24" i="8" s="1"/>
  <c r="Y24" i="8" l="1"/>
  <c r="P26" i="8" s="1"/>
  <c r="B13" i="8" s="1"/>
</calcChain>
</file>

<file path=xl/sharedStrings.xml><?xml version="1.0" encoding="utf-8"?>
<sst xmlns="http://schemas.openxmlformats.org/spreadsheetml/2006/main" count="159" uniqueCount="105">
  <si>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</si>
  <si>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</si>
  <si>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</si>
  <si>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</si>
  <si>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</si>
  <si>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</si>
  <si>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</si>
  <si>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</si>
  <si>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</si>
  <si>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</si>
  <si>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</si>
  <si>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</si>
  <si>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</si>
  <si>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Diketahui oleh :</t>
  </si>
  <si>
    <t>Dihitung oleh,</t>
  </si>
  <si>
    <t>Kabid. Operasional Pompa</t>
  </si>
  <si>
    <t>Disahkan oleh :</t>
  </si>
  <si>
    <t>unit</t>
  </si>
  <si>
    <t>MATERIAL</t>
  </si>
  <si>
    <t>Total</t>
  </si>
  <si>
    <t>No</t>
  </si>
  <si>
    <t>Vol</t>
  </si>
  <si>
    <t xml:space="preserve">Terbilang : </t>
  </si>
  <si>
    <t>LOKASI</t>
  </si>
  <si>
    <t>BREAKDOWN</t>
  </si>
  <si>
    <t xml:space="preserve">RENCANA ANGGARAN BIAYA </t>
  </si>
  <si>
    <t>TOTAL</t>
  </si>
  <si>
    <t>Pengecatan</t>
  </si>
  <si>
    <t>Kadiv. Perencanaan Air Minum</t>
  </si>
  <si>
    <t xml:space="preserve">PEKERJAAN </t>
  </si>
  <si>
    <t>Pengecatan Tangki Solar</t>
  </si>
  <si>
    <t>dt</t>
  </si>
  <si>
    <t>: diameter manhole</t>
  </si>
  <si>
    <t>tt</t>
  </si>
  <si>
    <t>: tinggi manhole</t>
  </si>
  <si>
    <t>D</t>
  </si>
  <si>
    <t>: diameter tangki utama</t>
  </si>
  <si>
    <t>P</t>
  </si>
  <si>
    <t>: panjang tangki utama</t>
  </si>
  <si>
    <t>: tinggi / panjang kaki</t>
  </si>
  <si>
    <t>Lk</t>
  </si>
  <si>
    <t>: lebar kaki</t>
  </si>
  <si>
    <t>Booster</t>
  </si>
  <si>
    <t>Luas permukaan Tangki</t>
  </si>
  <si>
    <t>= (∏.dt.tt) +  (∏.(½.dt)²)</t>
  </si>
  <si>
    <t>=  (∏.D.P) +  2 (∏(½ D)²)</t>
  </si>
  <si>
    <t>Luasan kaki - profil H</t>
  </si>
  <si>
    <t>pk</t>
  </si>
  <si>
    <t>tp</t>
  </si>
  <si>
    <t>: tebal profil kaki</t>
  </si>
  <si>
    <t>=  4 ((2.pk.Lk) + (4.pk.tp))</t>
  </si>
  <si>
    <t>Luas permukaan manhole</t>
  </si>
  <si>
    <t>Tangki</t>
  </si>
  <si>
    <t>Kaki</t>
  </si>
  <si>
    <t>M Hol</t>
  </si>
  <si>
    <t>Luas Permukaan (m²)</t>
  </si>
  <si>
    <t>Pasar 4</t>
  </si>
  <si>
    <t>Sejarah</t>
  </si>
  <si>
    <t>Gaperta</t>
  </si>
  <si>
    <t>* satuan dalam meter</t>
  </si>
  <si>
    <t>Volume : pi.r.r.P</t>
  </si>
  <si>
    <t>L B Klewang</t>
  </si>
  <si>
    <t>Tuasan</t>
  </si>
  <si>
    <t>Garu</t>
  </si>
  <si>
    <t>Cemara</t>
  </si>
  <si>
    <t>Marelan</t>
  </si>
  <si>
    <t>model oval</t>
  </si>
  <si>
    <t>Luas Elips</t>
  </si>
  <si>
    <t>=  ∏.½D.½T</t>
  </si>
  <si>
    <t>T</t>
  </si>
  <si>
    <t>=  (∏.(½ D+½T) . P ) + (∏.½D.½T)</t>
  </si>
  <si>
    <t>underground</t>
  </si>
  <si>
    <t>Medan Denai</t>
  </si>
  <si>
    <t>Sei Agul</t>
  </si>
  <si>
    <t>6000x2</t>
  </si>
  <si>
    <t>Vol Cn</t>
  </si>
  <si>
    <t>model berdiri</t>
  </si>
  <si>
    <t>Luas</t>
  </si>
  <si>
    <t>Kebutuhan</t>
  </si>
  <si>
    <t>Cat (kg)</t>
  </si>
  <si>
    <t>Amplas</t>
  </si>
  <si>
    <t>(lembar)</t>
  </si>
  <si>
    <t>Pelaksanaan (hari)</t>
  </si>
  <si>
    <t>Persiapan</t>
  </si>
  <si>
    <t>Kuas 2"</t>
  </si>
  <si>
    <t>(buah)</t>
  </si>
  <si>
    <t>Kuas 5"</t>
  </si>
  <si>
    <t>Tangga</t>
  </si>
  <si>
    <t>(bh)</t>
  </si>
  <si>
    <t>Rinso</t>
  </si>
  <si>
    <t>(sachet)</t>
  </si>
  <si>
    <t>Sabut</t>
  </si>
  <si>
    <t>cuci</t>
  </si>
  <si>
    <t>Skrap</t>
  </si>
  <si>
    <t>:  PEMBELIAN BATERAY GENSET BOOSTER PUMP</t>
  </si>
  <si>
    <t>Rupiah</t>
  </si>
  <si>
    <t>Terminal Aki Besar</t>
  </si>
  <si>
    <t>set</t>
  </si>
  <si>
    <t xml:space="preserve"> Kadiv. Transmisi Distribusi</t>
  </si>
  <si>
    <t>Dedi Gusman</t>
  </si>
  <si>
    <t>Julfan Fadhli Siregar</t>
  </si>
  <si>
    <t>Ali Ismail Siregar</t>
  </si>
  <si>
    <t>:  BOOSTER PUMP MEDAN DENAI DAN MABAR</t>
  </si>
  <si>
    <t>Bateray MF, INCOE, N200 12 Volt 200 AH (setara)
- 2 (dua) unit u/ BP Medan Denai
- 1 (satu) unit u/ BP Mabar</t>
  </si>
  <si>
    <t>Medan,     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</si>
</sst>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_);_(* \(#,##0.0\);_(* &quot;-&quot;_);_(@_)"/>
    <numFmt numFmtId="168" formatCode="0\ &quot;lapis&quot;"/>
    <numFmt numFmtId="169" formatCode="0.0\ &quot;lbr/m2&quot;"/>
    <numFmt numFmtId="170" formatCode="0\ &quot;m2/scht&quot;"/>
  </numFmts>
  <fonts count="34" x14ac:knownFonts="1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>
      <alignment vertical="center"/>
    </xf>
    <xf numFmtId="164" fontId="3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31" fillId="0" borderId="0">
      <alignment vertical="center"/>
    </xf>
    <xf numFmtId="0" fontId="26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</cellStyleXfs>
  <cellXfs count="106">
    <xf numFmtId="0" fontId="0" fillId="0" borderId="0" xfId="0"/>
    <xf numFmtId="165" fontId="17" fillId="0" borderId="0" xfId="28" applyFont="1"/>
    <xf numFmtId="0" fontId="20" fillId="0" borderId="0" xfId="0" applyFont="1"/>
    <xf numFmtId="165" fontId="18" fillId="0" borderId="0" xfId="0" applyNumberFormat="1" applyFont="1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0" fillId="0" borderId="12" xfId="0" applyFont="1" applyBorder="1"/>
    <xf numFmtId="165" fontId="18" fillId="0" borderId="12" xfId="0" applyNumberFormat="1" applyFont="1" applyBorder="1"/>
    <xf numFmtId="165" fontId="20" fillId="0" borderId="12" xfId="0" applyNumberFormat="1" applyFont="1" applyBorder="1"/>
    <xf numFmtId="0" fontId="20" fillId="0" borderId="14" xfId="0" applyFont="1" applyBorder="1" applyAlignment="1">
      <alignment horizontal="center"/>
    </xf>
    <xf numFmtId="165" fontId="20" fillId="0" borderId="14" xfId="28" applyFont="1" applyBorder="1"/>
    <xf numFmtId="165" fontId="20" fillId="0" borderId="14" xfId="28" applyFont="1" applyBorder="1" applyAlignment="1">
      <alignment horizontal="center"/>
    </xf>
    <xf numFmtId="165" fontId="21" fillId="0" borderId="15" xfId="28" applyFont="1" applyBorder="1" applyAlignment="1">
      <alignment vertical="center"/>
    </xf>
    <xf numFmtId="165" fontId="21" fillId="0" borderId="16" xfId="28" applyFont="1" applyBorder="1" applyAlignment="1">
      <alignment vertical="center"/>
    </xf>
    <xf numFmtId="165" fontId="21" fillId="0" borderId="17" xfId="28" applyFont="1" applyBorder="1" applyAlignment="1">
      <alignment vertical="center"/>
    </xf>
    <xf numFmtId="165" fontId="21" fillId="0" borderId="18" xfId="28" applyFont="1" applyBorder="1" applyAlignment="1">
      <alignment vertical="center"/>
    </xf>
    <xf numFmtId="165" fontId="22" fillId="0" borderId="19" xfId="28" applyFont="1" applyBorder="1" applyAlignment="1">
      <alignment horizontal="center" vertical="center"/>
    </xf>
    <xf numFmtId="165" fontId="21" fillId="0" borderId="19" xfId="28" applyFont="1" applyBorder="1" applyAlignment="1">
      <alignment vertical="center"/>
    </xf>
    <xf numFmtId="165" fontId="21" fillId="0" borderId="20" xfId="28" applyFont="1" applyBorder="1" applyAlignment="1">
      <alignment vertical="center"/>
    </xf>
    <xf numFmtId="165" fontId="18" fillId="0" borderId="13" xfId="0" applyNumberFormat="1" applyFont="1" applyBorder="1"/>
    <xf numFmtId="0" fontId="20" fillId="0" borderId="13" xfId="0" applyFont="1" applyBorder="1"/>
    <xf numFmtId="165" fontId="20" fillId="0" borderId="13" xfId="28" applyFont="1" applyBorder="1"/>
    <xf numFmtId="165" fontId="18" fillId="0" borderId="13" xfId="28" applyFont="1" applyBorder="1"/>
    <xf numFmtId="0" fontId="20" fillId="0" borderId="21" xfId="0" applyFont="1" applyBorder="1"/>
    <xf numFmtId="0" fontId="20" fillId="0" borderId="0" xfId="0" applyFont="1" applyAlignment="1">
      <alignment horizontal="center"/>
    </xf>
    <xf numFmtId="0" fontId="18" fillId="0" borderId="12" xfId="0" applyFont="1" applyBorder="1"/>
    <xf numFmtId="0" fontId="18" fillId="0" borderId="13" xfId="0" applyFont="1" applyBorder="1"/>
    <xf numFmtId="0" fontId="23" fillId="0" borderId="0" xfId="0" applyFont="1"/>
    <xf numFmtId="0" fontId="26" fillId="0" borderId="0" xfId="0" applyFont="1"/>
    <xf numFmtId="0" fontId="26" fillId="0" borderId="0" xfId="0" quotePrefix="1" applyFont="1"/>
    <xf numFmtId="0" fontId="26" fillId="0" borderId="10" xfId="0" quotePrefix="1" applyFont="1" applyBorder="1"/>
    <xf numFmtId="0" fontId="26" fillId="0" borderId="10" xfId="0" applyFont="1" applyBorder="1" applyAlignment="1">
      <alignment horizontal="center"/>
    </xf>
    <xf numFmtId="165" fontId="28" fillId="0" borderId="0" xfId="28" applyFont="1"/>
    <xf numFmtId="165" fontId="20" fillId="0" borderId="12" xfId="28" applyFont="1" applyBorder="1" applyAlignment="1">
      <alignment horizontal="center"/>
    </xf>
    <xf numFmtId="0" fontId="20" fillId="0" borderId="14" xfId="0" applyFont="1" applyBorder="1" applyAlignment="1">
      <alignment horizontal="center" vertical="top"/>
    </xf>
    <xf numFmtId="166" fontId="20" fillId="0" borderId="14" xfId="28" applyNumberFormat="1" applyFont="1" applyBorder="1" applyAlignment="1">
      <alignment horizontal="center" vertical="top"/>
    </xf>
    <xf numFmtId="43" fontId="20" fillId="0" borderId="14" xfId="28" applyNumberFormat="1" applyFont="1" applyBorder="1" applyAlignment="1">
      <alignment horizontal="center" vertical="top"/>
    </xf>
    <xf numFmtId="165" fontId="20" fillId="0" borderId="14" xfId="0" applyNumberFormat="1" applyFont="1" applyBorder="1" applyAlignment="1">
      <alignment vertical="top"/>
    </xf>
    <xf numFmtId="165" fontId="17" fillId="0" borderId="0" xfId="28" applyFont="1" applyAlignment="1">
      <alignment vertical="top"/>
    </xf>
    <xf numFmtId="0" fontId="19" fillId="0" borderId="17" xfId="0" applyFont="1" applyBorder="1"/>
    <xf numFmtId="0" fontId="20" fillId="0" borderId="22" xfId="0" applyFont="1" applyBorder="1"/>
    <xf numFmtId="0" fontId="19" fillId="0" borderId="15" xfId="0" applyFont="1" applyBorder="1"/>
    <xf numFmtId="43" fontId="20" fillId="0" borderId="14" xfId="28" applyNumberFormat="1" applyFont="1" applyBorder="1" applyAlignment="1">
      <alignment horizontal="left" vertical="top"/>
    </xf>
    <xf numFmtId="165" fontId="20" fillId="0" borderId="14" xfId="0" applyNumberFormat="1" applyFont="1" applyBorder="1" applyAlignment="1">
      <alignment horizontal="left" vertical="top"/>
    </xf>
    <xf numFmtId="165" fontId="17" fillId="0" borderId="0" xfId="28" applyFont="1" applyAlignment="1">
      <alignment horizontal="left" vertical="top"/>
    </xf>
    <xf numFmtId="165" fontId="22" fillId="0" borderId="19" xfId="28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165" fontId="21" fillId="0" borderId="16" xfId="28" applyFont="1" applyBorder="1" applyAlignment="1">
      <alignment horizontal="center" vertical="center"/>
    </xf>
    <xf numFmtId="165" fontId="21" fillId="0" borderId="19" xfId="28" applyFont="1" applyBorder="1" applyAlignment="1">
      <alignment horizontal="center" vertical="center"/>
    </xf>
    <xf numFmtId="165" fontId="17" fillId="0" borderId="0" xfId="28" applyFont="1" applyAlignment="1">
      <alignment horizontal="center"/>
    </xf>
    <xf numFmtId="0" fontId="0" fillId="0" borderId="0" xfId="0" applyAlignment="1">
      <alignment horizontal="center" vertical="top"/>
    </xf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5" fillId="0" borderId="0" xfId="0" applyFont="1" applyAlignment="1">
      <alignment horizontal="centerContinuous" vertical="center"/>
    </xf>
    <xf numFmtId="0" fontId="0" fillId="0" borderId="0" xfId="0" applyAlignment="1">
      <alignment horizontal="left"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12" fillId="0" borderId="10" xfId="0" applyFont="1" applyBorder="1" applyAlignment="1">
      <alignment horizontal="center"/>
    </xf>
    <xf numFmtId="2" fontId="0" fillId="0" borderId="10" xfId="0" applyNumberFormat="1" applyBorder="1"/>
    <xf numFmtId="0" fontId="12" fillId="0" borderId="23" xfId="0" applyFont="1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26" fillId="0" borderId="18" xfId="0" applyFont="1" applyBorder="1"/>
    <xf numFmtId="0" fontId="0" fillId="0" borderId="20" xfId="0" applyBorder="1"/>
    <xf numFmtId="0" fontId="26" fillId="0" borderId="23" xfId="0" applyFont="1" applyBorder="1"/>
    <xf numFmtId="0" fontId="29" fillId="0" borderId="0" xfId="0" applyFont="1"/>
    <xf numFmtId="1" fontId="0" fillId="0" borderId="10" xfId="0" applyNumberFormat="1" applyBorder="1"/>
    <xf numFmtId="0" fontId="26" fillId="0" borderId="24" xfId="0" applyFont="1" applyBorder="1"/>
    <xf numFmtId="0" fontId="0" fillId="0" borderId="24" xfId="0" applyBorder="1"/>
    <xf numFmtId="0" fontId="0" fillId="0" borderId="19" xfId="0" applyBorder="1"/>
    <xf numFmtId="0" fontId="12" fillId="0" borderId="24" xfId="0" applyFont="1" applyBorder="1" applyAlignment="1">
      <alignment horizontal="centerContinuous"/>
    </xf>
    <xf numFmtId="0" fontId="30" fillId="0" borderId="24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7" fontId="0" fillId="0" borderId="10" xfId="29" applyNumberFormat="1" applyFont="1" applyBorder="1"/>
    <xf numFmtId="164" fontId="0" fillId="0" borderId="10" xfId="29" applyFont="1" applyBorder="1"/>
    <xf numFmtId="164" fontId="12" fillId="0" borderId="10" xfId="0" applyNumberFormat="1" applyFont="1" applyBorder="1"/>
    <xf numFmtId="168" fontId="29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67" fontId="12" fillId="0" borderId="10" xfId="0" applyNumberFormat="1" applyFont="1" applyBorder="1"/>
    <xf numFmtId="170" fontId="0" fillId="0" borderId="0" xfId="0" applyNumberFormat="1" applyAlignment="1">
      <alignment horizontal="center"/>
    </xf>
    <xf numFmtId="164" fontId="32" fillId="24" borderId="0" xfId="30" applyFont="1" applyFill="1"/>
    <xf numFmtId="0" fontId="33" fillId="24" borderId="0" xfId="42" applyFont="1" applyFill="1" applyAlignment="1"/>
    <xf numFmtId="0" fontId="32" fillId="24" borderId="0" xfId="42" applyFont="1" applyFill="1" applyAlignment="1"/>
    <xf numFmtId="164" fontId="33" fillId="24" borderId="0" xfId="42" applyNumberFormat="1" applyFont="1" applyFill="1" applyAlignment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30" xr:uid="{00000000-0005-0000-0000-00001D000000}"/>
    <cellStyle name="Comma 2" xfId="31" xr:uid="{00000000-0005-0000-0000-00001E000000}"/>
    <cellStyle name="Comma[0]_Sheet1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 2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125419</xdr:colOff>
      <xdr:row>16</xdr:row>
      <xdr:rowOff>8046</xdr:rowOff>
    </xdr:from>
    <xdr:to>
      <xdr:col>7</xdr:col>
      <xdr:colOff>379638</xdr:colOff>
      <xdr:row>19</xdr:row>
      <xdr:rowOff>73714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 rot="1653705">
          <a:off x="2880049" y="2922696"/>
          <a:ext cx="266700" cy="6371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4</xdr:col>
      <xdr:colOff>271145</xdr:colOff>
      <xdr:row>7</xdr:row>
      <xdr:rowOff>116205</xdr:rowOff>
    </xdr:from>
    <xdr:to>
      <xdr:col>9</xdr:col>
      <xdr:colOff>142879</xdr:colOff>
      <xdr:row>11</xdr:row>
      <xdr:rowOff>163830</xdr:rowOff>
    </xdr:to>
    <xdr:sp macro="" textlink="">
      <xdr:nvSpPr>
        <xdr:cNvPr id="2" name="Flowchart: Direct Access Stor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67275" y="2647950"/>
          <a:ext cx="1933575" cy="809625"/>
        </a:xfrm>
        <a:prstGeom prst="flowChartMagneticDru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7</xdr:col>
      <xdr:colOff>142875</xdr:colOff>
      <xdr:row>11</xdr:row>
      <xdr:rowOff>182880</xdr:rowOff>
    </xdr:from>
    <xdr:to>
      <xdr:col>8</xdr:col>
      <xdr:colOff>57150</xdr:colOff>
      <xdr:row>12</xdr:row>
      <xdr:rowOff>135255</xdr:rowOff>
    </xdr:to>
    <xdr:sp macro="" textlink="">
      <xdr:nvSpPr>
        <xdr:cNvPr id="3" name="Flowchart: Dat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72175" y="3476625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8</xdr:col>
      <xdr:colOff>128268</xdr:colOff>
      <xdr:row>11</xdr:row>
      <xdr:rowOff>182879</xdr:rowOff>
    </xdr:from>
    <xdr:to>
      <xdr:col>9</xdr:col>
      <xdr:colOff>28939</xdr:colOff>
      <xdr:row>12</xdr:row>
      <xdr:rowOff>135254</xdr:rowOff>
    </xdr:to>
    <xdr:sp macro="" textlink="">
      <xdr:nvSpPr>
        <xdr:cNvPr id="4" name="Flowchart: Da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6362698" y="3476624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5</xdr:col>
      <xdr:colOff>28575</xdr:colOff>
      <xdr:row>12</xdr:row>
      <xdr:rowOff>1</xdr:rowOff>
    </xdr:from>
    <xdr:to>
      <xdr:col>5</xdr:col>
      <xdr:colOff>338465</xdr:colOff>
      <xdr:row>12</xdr:row>
      <xdr:rowOff>154433</xdr:rowOff>
    </xdr:to>
    <xdr:sp macro="" textlink="">
      <xdr:nvSpPr>
        <xdr:cNvPr id="5" name="Flowchart: Da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38725" y="3486151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6</xdr:col>
      <xdr:colOff>9523</xdr:colOff>
      <xdr:row>12</xdr:row>
      <xdr:rowOff>0</xdr:rowOff>
    </xdr:from>
    <xdr:to>
      <xdr:col>6</xdr:col>
      <xdr:colOff>311397</xdr:colOff>
      <xdr:row>12</xdr:row>
      <xdr:rowOff>135355</xdr:rowOff>
    </xdr:to>
    <xdr:sp macro="" textlink="">
      <xdr:nvSpPr>
        <xdr:cNvPr id="6" name="Flowchart: Da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H="1">
          <a:off x="5429248" y="3486150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6</xdr:col>
      <xdr:colOff>347345</xdr:colOff>
      <xdr:row>6</xdr:row>
      <xdr:rowOff>97155</xdr:rowOff>
    </xdr:from>
    <xdr:to>
      <xdr:col>7</xdr:col>
      <xdr:colOff>143266</xdr:colOff>
      <xdr:row>7</xdr:row>
      <xdr:rowOff>133421</xdr:rowOff>
    </xdr:to>
    <xdr:sp macro="" textlink="">
      <xdr:nvSpPr>
        <xdr:cNvPr id="7" name="Ca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772150" y="2447925"/>
          <a:ext cx="209550" cy="20955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8</xdr:col>
      <xdr:colOff>209550</xdr:colOff>
      <xdr:row>7</xdr:row>
      <xdr:rowOff>97155</xdr:rowOff>
    </xdr:from>
    <xdr:to>
      <xdr:col>10</xdr:col>
      <xdr:colOff>195086</xdr:colOff>
      <xdr:row>7</xdr:row>
      <xdr:rowOff>97155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457950" y="263842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11</xdr:row>
      <xdr:rowOff>154305</xdr:rowOff>
    </xdr:from>
    <xdr:to>
      <xdr:col>10</xdr:col>
      <xdr:colOff>195032</xdr:colOff>
      <xdr:row>11</xdr:row>
      <xdr:rowOff>154305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448425" y="34480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347345</xdr:colOff>
      <xdr:row>7</xdr:row>
      <xdr:rowOff>116205</xdr:rowOff>
    </xdr:from>
    <xdr:to>
      <xdr:col>9</xdr:col>
      <xdr:colOff>356870</xdr:colOff>
      <xdr:row>11</xdr:row>
      <xdr:rowOff>154305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7000875" y="2647950"/>
          <a:ext cx="9525" cy="8001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11430</xdr:rowOff>
    </xdr:from>
    <xdr:to>
      <xdr:col>10</xdr:col>
      <xdr:colOff>299475</xdr:colOff>
      <xdr:row>10</xdr:row>
      <xdr:rowOff>95367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058025" y="293370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</a:t>
          </a:r>
        </a:p>
      </xdr:txBody>
    </xdr:sp>
    <xdr:clientData/>
  </xdr:twoCellAnchor>
  <xdr:twoCellAnchor>
    <xdr:from>
      <xdr:col>4</xdr:col>
      <xdr:colOff>271145</xdr:colOff>
      <xdr:row>8</xdr:row>
      <xdr:rowOff>179705</xdr:rowOff>
    </xdr:from>
    <xdr:to>
      <xdr:col>4</xdr:col>
      <xdr:colOff>271145</xdr:colOff>
      <xdr:row>10</xdr:row>
      <xdr:rowOff>120983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4867275" y="28956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309245</xdr:colOff>
      <xdr:row>8</xdr:row>
      <xdr:rowOff>179705</xdr:rowOff>
    </xdr:from>
    <xdr:to>
      <xdr:col>7</xdr:col>
      <xdr:colOff>309245</xdr:colOff>
      <xdr:row>10</xdr:row>
      <xdr:rowOff>120983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6143625" y="28956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271145</xdr:colOff>
      <xdr:row>9</xdr:row>
      <xdr:rowOff>136843</xdr:rowOff>
    </xdr:from>
    <xdr:to>
      <xdr:col>7</xdr:col>
      <xdr:colOff>308023</xdr:colOff>
      <xdr:row>9</xdr:row>
      <xdr:rowOff>172565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2" idx="3"/>
        </xdr:cNvCxnSpPr>
      </xdr:nvCxnSpPr>
      <xdr:spPr>
        <a:xfrm flipV="1">
          <a:off x="4876800" y="3052763"/>
          <a:ext cx="1279525" cy="2381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375920</xdr:colOff>
      <xdr:row>8</xdr:row>
      <xdr:rowOff>59055</xdr:rowOff>
    </xdr:from>
    <xdr:to>
      <xdr:col>6</xdr:col>
      <xdr:colOff>267172</xdr:colOff>
      <xdr:row>9</xdr:row>
      <xdr:rowOff>132161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400675" y="2790825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</a:t>
          </a:r>
        </a:p>
      </xdr:txBody>
    </xdr:sp>
    <xdr:clientData/>
  </xdr:twoCellAnchor>
  <xdr:twoCellAnchor>
    <xdr:from>
      <xdr:col>6</xdr:col>
      <xdr:colOff>337820</xdr:colOff>
      <xdr:row>4</xdr:row>
      <xdr:rowOff>163830</xdr:rowOff>
    </xdr:from>
    <xdr:to>
      <xdr:col>6</xdr:col>
      <xdr:colOff>337820</xdr:colOff>
      <xdr:row>6</xdr:row>
      <xdr:rowOff>119135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5762625" y="212407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166370</xdr:colOff>
      <xdr:row>4</xdr:row>
      <xdr:rowOff>163830</xdr:rowOff>
    </xdr:from>
    <xdr:to>
      <xdr:col>7</xdr:col>
      <xdr:colOff>166370</xdr:colOff>
      <xdr:row>6</xdr:row>
      <xdr:rowOff>119135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5991225" y="212407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337820</xdr:colOff>
      <xdr:row>4</xdr:row>
      <xdr:rowOff>182880</xdr:rowOff>
    </xdr:from>
    <xdr:to>
      <xdr:col>7</xdr:col>
      <xdr:colOff>166030</xdr:colOff>
      <xdr:row>4</xdr:row>
      <xdr:rowOff>182880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5762625" y="2143125"/>
          <a:ext cx="2286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3</xdr:row>
      <xdr:rowOff>38100</xdr:rowOff>
    </xdr:from>
    <xdr:to>
      <xdr:col>7</xdr:col>
      <xdr:colOff>209550</xdr:colOff>
      <xdr:row>4</xdr:row>
      <xdr:rowOff>97213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43575" y="180975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dt</a:t>
          </a:r>
        </a:p>
      </xdr:txBody>
    </xdr:sp>
    <xdr:clientData/>
  </xdr:twoCellAnchor>
  <xdr:twoCellAnchor>
    <xdr:from>
      <xdr:col>7</xdr:col>
      <xdr:colOff>128270</xdr:colOff>
      <xdr:row>6</xdr:row>
      <xdr:rowOff>133350</xdr:rowOff>
    </xdr:from>
    <xdr:to>
      <xdr:col>9</xdr:col>
      <xdr:colOff>104919</xdr:colOff>
      <xdr:row>6</xdr:row>
      <xdr:rowOff>133350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5953125" y="246697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6</xdr:row>
      <xdr:rowOff>133350</xdr:rowOff>
    </xdr:from>
    <xdr:to>
      <xdr:col>9</xdr:col>
      <xdr:colOff>38101</xdr:colOff>
      <xdr:row>7</xdr:row>
      <xdr:rowOff>116288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6686550" y="246697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6</xdr:row>
      <xdr:rowOff>59055</xdr:rowOff>
    </xdr:from>
    <xdr:to>
      <xdr:col>9</xdr:col>
      <xdr:colOff>394861</xdr:colOff>
      <xdr:row>7</xdr:row>
      <xdr:rowOff>132161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743700" y="240982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tt</a:t>
          </a:r>
        </a:p>
      </xdr:txBody>
    </xdr:sp>
    <xdr:clientData/>
  </xdr:twoCellAnchor>
  <xdr:twoCellAnchor>
    <xdr:from>
      <xdr:col>4</xdr:col>
      <xdr:colOff>290195</xdr:colOff>
      <xdr:row>12</xdr:row>
      <xdr:rowOff>76201</xdr:rowOff>
    </xdr:from>
    <xdr:to>
      <xdr:col>5</xdr:col>
      <xdr:colOff>51355</xdr:colOff>
      <xdr:row>14</xdr:row>
      <xdr:rowOff>97192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endCxn id="5" idx="2"/>
        </xdr:cNvCxnSpPr>
      </xdr:nvCxnSpPr>
      <xdr:spPr>
        <a:xfrm flipV="1">
          <a:off x="4895850" y="3562351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12</xdr:row>
      <xdr:rowOff>59055</xdr:rowOff>
    </xdr:from>
    <xdr:to>
      <xdr:col>5</xdr:col>
      <xdr:colOff>308911</xdr:colOff>
      <xdr:row>14</xdr:row>
      <xdr:rowOff>97154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5162550" y="3552825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299720</xdr:colOff>
      <xdr:row>14</xdr:row>
      <xdr:rowOff>97155</xdr:rowOff>
    </xdr:from>
    <xdr:to>
      <xdr:col>5</xdr:col>
      <xdr:colOff>127930</xdr:colOff>
      <xdr:row>14</xdr:row>
      <xdr:rowOff>116205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1419225" y="2828925"/>
          <a:ext cx="2286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273049</xdr:colOff>
      <xdr:row>13</xdr:row>
      <xdr:rowOff>95250</xdr:rowOff>
    </xdr:from>
    <xdr:to>
      <xdr:col>5</xdr:col>
      <xdr:colOff>233309</xdr:colOff>
      <xdr:row>14</xdr:row>
      <xdr:rowOff>154363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400174" y="2619375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3</xdr:col>
      <xdr:colOff>233045</xdr:colOff>
      <xdr:row>12</xdr:row>
      <xdr:rowOff>0</xdr:rowOff>
    </xdr:from>
    <xdr:to>
      <xdr:col>5</xdr:col>
      <xdr:colOff>209694</xdr:colOff>
      <xdr:row>12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4429125" y="34861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12</xdr:row>
      <xdr:rowOff>154305</xdr:rowOff>
    </xdr:from>
    <xdr:to>
      <xdr:col>5</xdr:col>
      <xdr:colOff>233186</xdr:colOff>
      <xdr:row>12</xdr:row>
      <xdr:rowOff>154305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4448175" y="36385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11</xdr:row>
      <xdr:rowOff>182880</xdr:rowOff>
    </xdr:from>
    <xdr:to>
      <xdr:col>3</xdr:col>
      <xdr:colOff>304801</xdr:colOff>
      <xdr:row>12</xdr:row>
      <xdr:rowOff>179823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514850" y="34766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375919</xdr:colOff>
      <xdr:row>11</xdr:row>
      <xdr:rowOff>133350</xdr:rowOff>
    </xdr:from>
    <xdr:to>
      <xdr:col>4</xdr:col>
      <xdr:colOff>350519</xdr:colOff>
      <xdr:row>13</xdr:row>
      <xdr:rowOff>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85849" y="22764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6</xdr:col>
      <xdr:colOff>323947</xdr:colOff>
      <xdr:row>15</xdr:row>
      <xdr:rowOff>135209</xdr:rowOff>
    </xdr:from>
    <xdr:to>
      <xdr:col>7</xdr:col>
      <xdr:colOff>198453</xdr:colOff>
      <xdr:row>19</xdr:row>
      <xdr:rowOff>134200</xdr:rowOff>
    </xdr:to>
    <xdr:sp macro="" textlink="">
      <xdr:nvSpPr>
        <xdr:cNvPr id="31" name="Flowchart: Data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 rot="6984104" flipV="1">
          <a:off x="2440692" y="3098464"/>
          <a:ext cx="760991" cy="298022"/>
        </a:xfrm>
        <a:prstGeom prst="flowChartInputOutp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6</xdr:col>
      <xdr:colOff>126192</xdr:colOff>
      <xdr:row>16</xdr:row>
      <xdr:rowOff>10919</xdr:rowOff>
    </xdr:from>
    <xdr:to>
      <xdr:col>6</xdr:col>
      <xdr:colOff>397535</xdr:colOff>
      <xdr:row>19</xdr:row>
      <xdr:rowOff>94664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rot="1653705">
          <a:off x="2478867" y="2925569"/>
          <a:ext cx="266700" cy="6564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5</xdr:col>
      <xdr:colOff>328295</xdr:colOff>
      <xdr:row>19</xdr:row>
      <xdr:rowOff>59056</xdr:rowOff>
    </xdr:from>
    <xdr:to>
      <xdr:col>6</xdr:col>
      <xdr:colOff>147245</xdr:colOff>
      <xdr:row>21</xdr:row>
      <xdr:rowOff>94051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V="1">
          <a:off x="2266950" y="3543301"/>
          <a:ext cx="222885" cy="4190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19</xdr:row>
      <xdr:rowOff>11431</xdr:rowOff>
    </xdr:from>
    <xdr:to>
      <xdr:col>7</xdr:col>
      <xdr:colOff>108867</xdr:colOff>
      <xdr:row>21</xdr:row>
      <xdr:rowOff>116205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V="1">
          <a:off x="2628900" y="3505201"/>
          <a:ext cx="232410" cy="4762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356869</xdr:colOff>
      <xdr:row>20</xdr:row>
      <xdr:rowOff>76200</xdr:rowOff>
    </xdr:from>
    <xdr:to>
      <xdr:col>6</xdr:col>
      <xdr:colOff>309244</xdr:colOff>
      <xdr:row>21</xdr:row>
      <xdr:rowOff>135313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305049" y="3752850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5</xdr:col>
      <xdr:colOff>304800</xdr:colOff>
      <xdr:row>21</xdr:row>
      <xdr:rowOff>133350</xdr:rowOff>
    </xdr:from>
    <xdr:to>
      <xdr:col>6</xdr:col>
      <xdr:colOff>299897</xdr:colOff>
      <xdr:row>21</xdr:row>
      <xdr:rowOff>133350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2257425" y="3990975"/>
          <a:ext cx="390525" cy="952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356870</xdr:colOff>
      <xdr:row>16</xdr:row>
      <xdr:rowOff>59055</xdr:rowOff>
    </xdr:from>
    <xdr:to>
      <xdr:col>6</xdr:col>
      <xdr:colOff>337820</xdr:colOff>
      <xdr:row>16</xdr:row>
      <xdr:rowOff>59055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1885950" y="298132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375920</xdr:colOff>
      <xdr:row>18</xdr:row>
      <xdr:rowOff>182880</xdr:rowOff>
    </xdr:from>
    <xdr:to>
      <xdr:col>6</xdr:col>
      <xdr:colOff>143232</xdr:colOff>
      <xdr:row>18</xdr:row>
      <xdr:rowOff>182880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 flipV="1">
          <a:off x="1914525" y="3476625"/>
          <a:ext cx="571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375920</xdr:colOff>
      <xdr:row>16</xdr:row>
      <xdr:rowOff>76200</xdr:rowOff>
    </xdr:from>
    <xdr:to>
      <xdr:col>4</xdr:col>
      <xdr:colOff>375920</xdr:colOff>
      <xdr:row>19</xdr:row>
      <xdr:rowOff>0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1914525" y="2990850"/>
          <a:ext cx="0" cy="4953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9524</xdr:colOff>
      <xdr:row>17</xdr:row>
      <xdr:rowOff>9525</xdr:rowOff>
    </xdr:from>
    <xdr:to>
      <xdr:col>5</xdr:col>
      <xdr:colOff>394622</xdr:colOff>
      <xdr:row>18</xdr:row>
      <xdr:rowOff>76200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943099" y="31146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7</xdr:col>
      <xdr:colOff>328295</xdr:colOff>
      <xdr:row>15</xdr:row>
      <xdr:rowOff>93980</xdr:rowOff>
    </xdr:from>
    <xdr:to>
      <xdr:col>8</xdr:col>
      <xdr:colOff>171658</xdr:colOff>
      <xdr:row>16</xdr:row>
      <xdr:rowOff>28792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>
          <a:off x="3086100" y="2819400"/>
          <a:ext cx="257175" cy="1238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14</xdr:row>
      <xdr:rowOff>97155</xdr:rowOff>
    </xdr:from>
    <xdr:to>
      <xdr:col>8</xdr:col>
      <xdr:colOff>350505</xdr:colOff>
      <xdr:row>15</xdr:row>
      <xdr:rowOff>179676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171825" y="2638425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tp</a:t>
          </a:r>
        </a:p>
      </xdr:txBody>
    </xdr:sp>
    <xdr:clientData/>
  </xdr:twoCellAnchor>
  <xdr:twoCellAnchor>
    <xdr:from>
      <xdr:col>4</xdr:col>
      <xdr:colOff>271145</xdr:colOff>
      <xdr:row>28</xdr:row>
      <xdr:rowOff>28575</xdr:rowOff>
    </xdr:from>
    <xdr:to>
      <xdr:col>9</xdr:col>
      <xdr:colOff>142879</xdr:colOff>
      <xdr:row>30</xdr:row>
      <xdr:rowOff>163806</xdr:rowOff>
    </xdr:to>
    <xdr:sp macro="" textlink="">
      <xdr:nvSpPr>
        <xdr:cNvPr id="44" name="Flowchart: Direct Access Storag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2057400" y="7896225"/>
          <a:ext cx="2124075" cy="514350"/>
        </a:xfrm>
        <a:prstGeom prst="flowChartMagneticDru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7</xdr:col>
      <xdr:colOff>142875</xdr:colOff>
      <xdr:row>30</xdr:row>
      <xdr:rowOff>182880</xdr:rowOff>
    </xdr:from>
    <xdr:to>
      <xdr:col>8</xdr:col>
      <xdr:colOff>57150</xdr:colOff>
      <xdr:row>31</xdr:row>
      <xdr:rowOff>135255</xdr:rowOff>
    </xdr:to>
    <xdr:sp macro="" textlink="">
      <xdr:nvSpPr>
        <xdr:cNvPr id="45" name="Flowchart: Data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276600" y="2333625"/>
          <a:ext cx="3619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8</xdr:col>
      <xdr:colOff>128268</xdr:colOff>
      <xdr:row>30</xdr:row>
      <xdr:rowOff>182879</xdr:rowOff>
    </xdr:from>
    <xdr:to>
      <xdr:col>9</xdr:col>
      <xdr:colOff>28939</xdr:colOff>
      <xdr:row>31</xdr:row>
      <xdr:rowOff>135254</xdr:rowOff>
    </xdr:to>
    <xdr:sp macro="" textlink="">
      <xdr:nvSpPr>
        <xdr:cNvPr id="50" name="Flowchart: Data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flipH="1">
          <a:off x="3705223" y="2333624"/>
          <a:ext cx="3524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5</xdr:col>
      <xdr:colOff>28575</xdr:colOff>
      <xdr:row>31</xdr:row>
      <xdr:rowOff>1</xdr:rowOff>
    </xdr:from>
    <xdr:to>
      <xdr:col>5</xdr:col>
      <xdr:colOff>338465</xdr:colOff>
      <xdr:row>31</xdr:row>
      <xdr:rowOff>154433</xdr:rowOff>
    </xdr:to>
    <xdr:sp macro="" textlink="">
      <xdr:nvSpPr>
        <xdr:cNvPr id="51" name="Flowchart: Data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266950" y="2343151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6</xdr:col>
      <xdr:colOff>9523</xdr:colOff>
      <xdr:row>31</xdr:row>
      <xdr:rowOff>0</xdr:rowOff>
    </xdr:from>
    <xdr:to>
      <xdr:col>6</xdr:col>
      <xdr:colOff>311397</xdr:colOff>
      <xdr:row>31</xdr:row>
      <xdr:rowOff>135355</xdr:rowOff>
    </xdr:to>
    <xdr:sp macro="" textlink="">
      <xdr:nvSpPr>
        <xdr:cNvPr id="52" name="Flowchart: Data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 flipH="1">
          <a:off x="2695573" y="2343150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6</xdr:col>
      <xdr:colOff>200025</xdr:colOff>
      <xdr:row>27</xdr:row>
      <xdr:rowOff>9525</xdr:rowOff>
    </xdr:from>
    <xdr:to>
      <xdr:col>7</xdr:col>
      <xdr:colOff>9525</xdr:colOff>
      <xdr:row>28</xdr:row>
      <xdr:rowOff>28575</xdr:rowOff>
    </xdr:to>
    <xdr:sp macro="" textlink="">
      <xdr:nvSpPr>
        <xdr:cNvPr id="54" name="Can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895600" y="7686675"/>
          <a:ext cx="247650" cy="20955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d-ID"/>
        </a:p>
      </xdr:txBody>
    </xdr:sp>
    <xdr:clientData/>
  </xdr:twoCellAnchor>
  <xdr:twoCellAnchor>
    <xdr:from>
      <xdr:col>8</xdr:col>
      <xdr:colOff>194945</xdr:colOff>
      <xdr:row>28</xdr:row>
      <xdr:rowOff>11430</xdr:rowOff>
    </xdr:from>
    <xdr:to>
      <xdr:col>10</xdr:col>
      <xdr:colOff>171594</xdr:colOff>
      <xdr:row>28</xdr:row>
      <xdr:rowOff>11430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3781425" y="788670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30</xdr:row>
      <xdr:rowOff>154305</xdr:rowOff>
    </xdr:from>
    <xdr:to>
      <xdr:col>10</xdr:col>
      <xdr:colOff>195032</xdr:colOff>
      <xdr:row>30</xdr:row>
      <xdr:rowOff>154305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3790950" y="23050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356870</xdr:colOff>
      <xdr:row>28</xdr:row>
      <xdr:rowOff>28575</xdr:rowOff>
    </xdr:from>
    <xdr:to>
      <xdr:col>9</xdr:col>
      <xdr:colOff>356870</xdr:colOff>
      <xdr:row>30</xdr:row>
      <xdr:rowOff>154311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4391025" y="7896225"/>
          <a:ext cx="0" cy="5048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28</xdr:row>
      <xdr:rowOff>132080</xdr:rowOff>
    </xdr:from>
    <xdr:to>
      <xdr:col>10</xdr:col>
      <xdr:colOff>299475</xdr:colOff>
      <xdr:row>30</xdr:row>
      <xdr:rowOff>9590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4476750" y="800100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</a:t>
          </a:r>
        </a:p>
      </xdr:txBody>
    </xdr:sp>
    <xdr:clientData/>
  </xdr:twoCellAnchor>
  <xdr:twoCellAnchor>
    <xdr:from>
      <xdr:col>4</xdr:col>
      <xdr:colOff>271145</xdr:colOff>
      <xdr:row>28</xdr:row>
      <xdr:rowOff>132080</xdr:rowOff>
    </xdr:from>
    <xdr:to>
      <xdr:col>4</xdr:col>
      <xdr:colOff>271145</xdr:colOff>
      <xdr:row>30</xdr:row>
      <xdr:rowOff>82837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 flipV="1">
          <a:off x="2057400" y="80010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28</xdr:row>
      <xdr:rowOff>97155</xdr:rowOff>
    </xdr:from>
    <xdr:to>
      <xdr:col>7</xdr:col>
      <xdr:colOff>304800</xdr:colOff>
      <xdr:row>30</xdr:row>
      <xdr:rowOff>54293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 flipV="1">
          <a:off x="3457575" y="79724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271145</xdr:colOff>
      <xdr:row>29</xdr:row>
      <xdr:rowOff>93980</xdr:rowOff>
    </xdr:from>
    <xdr:to>
      <xdr:col>7</xdr:col>
      <xdr:colOff>334667</xdr:colOff>
      <xdr:row>29</xdr:row>
      <xdr:rowOff>93980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>
          <a:stCxn id="44" idx="1"/>
          <a:endCxn id="44" idx="3"/>
        </xdr:cNvCxnSpPr>
      </xdr:nvCxnSpPr>
      <xdr:spPr>
        <a:xfrm>
          <a:off x="2057400" y="8153400"/>
          <a:ext cx="14160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356870</xdr:colOff>
      <xdr:row>28</xdr:row>
      <xdr:rowOff>132080</xdr:rowOff>
    </xdr:from>
    <xdr:to>
      <xdr:col>6</xdr:col>
      <xdr:colOff>238050</xdr:colOff>
      <xdr:row>30</xdr:row>
      <xdr:rowOff>9590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600325" y="8001000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</a:t>
          </a:r>
        </a:p>
      </xdr:txBody>
    </xdr:sp>
    <xdr:clientData/>
  </xdr:twoCellAnchor>
  <xdr:twoCellAnchor>
    <xdr:from>
      <xdr:col>6</xdr:col>
      <xdr:colOff>194945</xdr:colOff>
      <xdr:row>25</xdr:row>
      <xdr:rowOff>59055</xdr:rowOff>
    </xdr:from>
    <xdr:to>
      <xdr:col>6</xdr:col>
      <xdr:colOff>194945</xdr:colOff>
      <xdr:row>27</xdr:row>
      <xdr:rowOff>23702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flipV="1">
          <a:off x="2886075" y="73628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</xdr:row>
      <xdr:rowOff>59055</xdr:rowOff>
    </xdr:from>
    <xdr:to>
      <xdr:col>7</xdr:col>
      <xdr:colOff>19050</xdr:colOff>
      <xdr:row>27</xdr:row>
      <xdr:rowOff>23702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 flipV="1">
          <a:off x="3152775" y="73628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194945</xdr:colOff>
      <xdr:row>25</xdr:row>
      <xdr:rowOff>95250</xdr:rowOff>
    </xdr:from>
    <xdr:to>
      <xdr:col>7</xdr:col>
      <xdr:colOff>19878</xdr:colOff>
      <xdr:row>25</xdr:row>
      <xdr:rowOff>95250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 flipV="1">
          <a:off x="2886075" y="7381875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23</xdr:row>
      <xdr:rowOff>132080</xdr:rowOff>
    </xdr:from>
    <xdr:to>
      <xdr:col>7</xdr:col>
      <xdr:colOff>76200</xdr:colOff>
      <xdr:row>25</xdr:row>
      <xdr:rowOff>9590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867025" y="7048500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dt</a:t>
          </a:r>
        </a:p>
      </xdr:txBody>
    </xdr:sp>
    <xdr:clientData/>
  </xdr:twoCellAnchor>
  <xdr:twoCellAnchor>
    <xdr:from>
      <xdr:col>6</xdr:col>
      <xdr:colOff>423545</xdr:colOff>
      <xdr:row>27</xdr:row>
      <xdr:rowOff>28575</xdr:rowOff>
    </xdr:from>
    <xdr:to>
      <xdr:col>8</xdr:col>
      <xdr:colOff>395075</xdr:colOff>
      <xdr:row>27</xdr:row>
      <xdr:rowOff>28575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3114675" y="7705725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337820</xdr:colOff>
      <xdr:row>27</xdr:row>
      <xdr:rowOff>28575</xdr:rowOff>
    </xdr:from>
    <xdr:to>
      <xdr:col>8</xdr:col>
      <xdr:colOff>337821</xdr:colOff>
      <xdr:row>28</xdr:row>
      <xdr:rowOff>11513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3924300" y="77057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394970</xdr:colOff>
      <xdr:row>26</xdr:row>
      <xdr:rowOff>163830</xdr:rowOff>
    </xdr:from>
    <xdr:to>
      <xdr:col>9</xdr:col>
      <xdr:colOff>238041</xdr:colOff>
      <xdr:row>28</xdr:row>
      <xdr:rowOff>38110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981450" y="764857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tt</a:t>
          </a:r>
        </a:p>
      </xdr:txBody>
    </xdr:sp>
    <xdr:clientData/>
  </xdr:twoCellAnchor>
  <xdr:twoCellAnchor>
    <xdr:from>
      <xdr:col>4</xdr:col>
      <xdr:colOff>290195</xdr:colOff>
      <xdr:row>31</xdr:row>
      <xdr:rowOff>76201</xdr:rowOff>
    </xdr:from>
    <xdr:to>
      <xdr:col>5</xdr:col>
      <xdr:colOff>51355</xdr:colOff>
      <xdr:row>33</xdr:row>
      <xdr:rowOff>97192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>
          <a:endCxn id="51" idx="2"/>
        </xdr:cNvCxnSpPr>
      </xdr:nvCxnSpPr>
      <xdr:spPr>
        <a:xfrm flipV="1">
          <a:off x="2085975" y="2419351"/>
          <a:ext cx="2133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31</xdr:row>
      <xdr:rowOff>59055</xdr:rowOff>
    </xdr:from>
    <xdr:to>
      <xdr:col>5</xdr:col>
      <xdr:colOff>308911</xdr:colOff>
      <xdr:row>33</xdr:row>
      <xdr:rowOff>97154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 flipV="1">
          <a:off x="2390775" y="2409825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299720</xdr:colOff>
      <xdr:row>33</xdr:row>
      <xdr:rowOff>97155</xdr:rowOff>
    </xdr:from>
    <xdr:to>
      <xdr:col>5</xdr:col>
      <xdr:colOff>127930</xdr:colOff>
      <xdr:row>33</xdr:row>
      <xdr:rowOff>116205</xdr:rowOff>
    </xdr:to>
    <xdr:cxnSp macro="">
      <xdr:nvCxnSpPr>
        <xdr:cNvPr id="73" name="Straight Arrow Connector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flipV="1">
          <a:off x="2095500" y="2828925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273049</xdr:colOff>
      <xdr:row>32</xdr:row>
      <xdr:rowOff>95250</xdr:rowOff>
    </xdr:from>
    <xdr:to>
      <xdr:col>5</xdr:col>
      <xdr:colOff>233309</xdr:colOff>
      <xdr:row>33</xdr:row>
      <xdr:rowOff>154363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2076449" y="26193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3</xdr:col>
      <xdr:colOff>233045</xdr:colOff>
      <xdr:row>31</xdr:row>
      <xdr:rowOff>0</xdr:rowOff>
    </xdr:from>
    <xdr:to>
      <xdr:col>5</xdr:col>
      <xdr:colOff>209694</xdr:colOff>
      <xdr:row>31</xdr:row>
      <xdr:rowOff>0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1581150" y="23431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31</xdr:row>
      <xdr:rowOff>154305</xdr:rowOff>
    </xdr:from>
    <xdr:to>
      <xdr:col>5</xdr:col>
      <xdr:colOff>233186</xdr:colOff>
      <xdr:row>31</xdr:row>
      <xdr:rowOff>154305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1600200" y="24955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30</xdr:row>
      <xdr:rowOff>182880</xdr:rowOff>
    </xdr:from>
    <xdr:to>
      <xdr:col>3</xdr:col>
      <xdr:colOff>304801</xdr:colOff>
      <xdr:row>31</xdr:row>
      <xdr:rowOff>179823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1666875" y="23336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375919</xdr:colOff>
      <xdr:row>30</xdr:row>
      <xdr:rowOff>133350</xdr:rowOff>
    </xdr:from>
    <xdr:to>
      <xdr:col>4</xdr:col>
      <xdr:colOff>350519</xdr:colOff>
      <xdr:row>32</xdr:row>
      <xdr:rowOff>0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724024" y="2276475"/>
          <a:ext cx="4286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8</xdr:col>
      <xdr:colOff>19050</xdr:colOff>
      <xdr:row>9</xdr:row>
      <xdr:rowOff>132080</xdr:rowOff>
    </xdr:from>
    <xdr:to>
      <xdr:col>8</xdr:col>
      <xdr:colOff>19050</xdr:colOff>
      <xdr:row>11</xdr:row>
      <xdr:rowOff>82837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 flipV="1">
          <a:off x="3600450" y="19050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166370</xdr:colOff>
      <xdr:row>28</xdr:row>
      <xdr:rowOff>116205</xdr:rowOff>
    </xdr:from>
    <xdr:to>
      <xdr:col>9</xdr:col>
      <xdr:colOff>166370</xdr:colOff>
      <xdr:row>30</xdr:row>
      <xdr:rowOff>80852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 flipV="1">
          <a:off x="4191000" y="798195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328295</xdr:colOff>
      <xdr:row>29</xdr:row>
      <xdr:rowOff>93980</xdr:rowOff>
    </xdr:from>
    <xdr:to>
      <xdr:col>9</xdr:col>
      <xdr:colOff>142910</xdr:colOff>
      <xdr:row>29</xdr:row>
      <xdr:rowOff>93980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>
          <a:endCxn id="44" idx="4"/>
        </xdr:cNvCxnSpPr>
      </xdr:nvCxnSpPr>
      <xdr:spPr>
        <a:xfrm>
          <a:off x="3467100" y="8153400"/>
          <a:ext cx="7143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28</xdr:row>
      <xdr:rowOff>133350</xdr:rowOff>
    </xdr:from>
    <xdr:to>
      <xdr:col>8</xdr:col>
      <xdr:colOff>413801</xdr:colOff>
      <xdr:row>30</xdr:row>
      <xdr:rowOff>0</xdr:rowOff>
    </xdr:to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657600" y="7991475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5274</xdr:row>
      <xdr:rowOff>0</xdr:rowOff>
    </xdr:from>
    <xdr:to>
      <xdr:col>1</xdr:col>
      <xdr:colOff>590550</xdr:colOff>
      <xdr:row>5274</xdr:row>
      <xdr:rowOff>28575</xdr:rowOff>
    </xdr:to>
    <xdr:pic>
      <xdr:nvPicPr>
        <xdr:cNvPr id="2337" name="Picture 1" descr="F:\foto2\siregar\tirtanadi.jpg">
          <a:extLst>
            <a:ext uri="{FF2B5EF4-FFF2-40B4-BE49-F238E27FC236}">
              <a16:creationId xmlns:a16="http://schemas.microsoft.com/office/drawing/2014/main" id="{00000000-0008-0000-0100-00002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805767375"/>
          <a:ext cx="838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5363</xdr:row>
      <xdr:rowOff>142875</xdr:rowOff>
    </xdr:from>
    <xdr:to>
      <xdr:col>1</xdr:col>
      <xdr:colOff>542925</xdr:colOff>
      <xdr:row>5364</xdr:row>
      <xdr:rowOff>38100</xdr:rowOff>
    </xdr:to>
    <xdr:pic>
      <xdr:nvPicPr>
        <xdr:cNvPr id="2338" name="Picture 3" descr="F:\foto2\siregar\tirtanadi.jpg">
          <a:extLst>
            <a:ext uri="{FF2B5EF4-FFF2-40B4-BE49-F238E27FC236}">
              <a16:creationId xmlns:a16="http://schemas.microsoft.com/office/drawing/2014/main" id="{00000000-0008-0000-0100-00002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" y="819473850"/>
          <a:ext cx="819150" cy="476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95250</xdr:colOff>
      <xdr:row>5418</xdr:row>
      <xdr:rowOff>0</xdr:rowOff>
    </xdr:from>
    <xdr:to>
      <xdr:col>1</xdr:col>
      <xdr:colOff>609600</xdr:colOff>
      <xdr:row>5418</xdr:row>
      <xdr:rowOff>19050</xdr:rowOff>
    </xdr:to>
    <xdr:pic>
      <xdr:nvPicPr>
        <xdr:cNvPr id="2339" name="Picture 4" descr="F:\foto2\siregar\tirtanadi.jpg">
          <a:extLst>
            <a:ext uri="{FF2B5EF4-FFF2-40B4-BE49-F238E27FC236}">
              <a16:creationId xmlns:a16="http://schemas.microsoft.com/office/drawing/2014/main" id="{00000000-0008-0000-0100-00002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0" y="827712975"/>
          <a:ext cx="819150" cy="190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5220</xdr:row>
      <xdr:rowOff>0</xdr:rowOff>
    </xdr:from>
    <xdr:to>
      <xdr:col>1</xdr:col>
      <xdr:colOff>590550</xdr:colOff>
      <xdr:row>5220</xdr:row>
      <xdr:rowOff>28575</xdr:rowOff>
    </xdr:to>
    <xdr:pic>
      <xdr:nvPicPr>
        <xdr:cNvPr id="2340" name="Picture 1" descr="F:\foto2\siregar\tirtanadi.jpg">
          <a:extLst>
            <a:ext uri="{FF2B5EF4-FFF2-40B4-BE49-F238E27FC236}">
              <a16:creationId xmlns:a16="http://schemas.microsoft.com/office/drawing/2014/main" id="{00000000-0008-0000-0100-00002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797537775"/>
          <a:ext cx="838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5180</xdr:row>
      <xdr:rowOff>0</xdr:rowOff>
    </xdr:from>
    <xdr:to>
      <xdr:col>1</xdr:col>
      <xdr:colOff>590550</xdr:colOff>
      <xdr:row>5180</xdr:row>
      <xdr:rowOff>28575</xdr:rowOff>
    </xdr:to>
    <xdr:pic>
      <xdr:nvPicPr>
        <xdr:cNvPr id="2341" name="Picture 1" descr="F:\foto2\siregar\tirtanadi.jpg">
          <a:extLst>
            <a:ext uri="{FF2B5EF4-FFF2-40B4-BE49-F238E27FC236}">
              <a16:creationId xmlns:a16="http://schemas.microsoft.com/office/drawing/2014/main" id="{00000000-0008-0000-0100-00002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791441775"/>
          <a:ext cx="838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5459</xdr:row>
      <xdr:rowOff>0</xdr:rowOff>
    </xdr:from>
    <xdr:to>
      <xdr:col>1</xdr:col>
      <xdr:colOff>466725</xdr:colOff>
      <xdr:row>5459</xdr:row>
      <xdr:rowOff>28575</xdr:rowOff>
    </xdr:to>
    <xdr:pic>
      <xdr:nvPicPr>
        <xdr:cNvPr id="2342" name="Picture 4" descr="F:\foto2\siregar\tirtanadi.jpg">
          <a:extLst>
            <a:ext uri="{FF2B5EF4-FFF2-40B4-BE49-F238E27FC236}">
              <a16:creationId xmlns:a16="http://schemas.microsoft.com/office/drawing/2014/main" id="{00000000-0008-0000-0100-00002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575" y="833961375"/>
          <a:ext cx="742950" cy="285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967</xdr:row>
      <xdr:rowOff>180975</xdr:rowOff>
    </xdr:from>
    <xdr:to>
      <xdr:col>1</xdr:col>
      <xdr:colOff>4476750</xdr:colOff>
      <xdr:row>970</xdr:row>
      <xdr:rowOff>190500</xdr:rowOff>
    </xdr:to>
    <xdr:pic>
      <xdr:nvPicPr>
        <xdr:cNvPr id="2343" name="Picture 2" descr="logo media format horizontal">
          <a:extLst>
            <a:ext uri="{FF2B5EF4-FFF2-40B4-BE49-F238E27FC236}">
              <a16:creationId xmlns:a16="http://schemas.microsoft.com/office/drawing/2014/main" id="{00000000-0008-0000-0100-00002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49532975"/>
          <a:ext cx="1438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1003</xdr:row>
      <xdr:rowOff>180975</xdr:rowOff>
    </xdr:from>
    <xdr:to>
      <xdr:col>1</xdr:col>
      <xdr:colOff>4476750</xdr:colOff>
      <xdr:row>1006</xdr:row>
      <xdr:rowOff>190500</xdr:rowOff>
    </xdr:to>
    <xdr:pic>
      <xdr:nvPicPr>
        <xdr:cNvPr id="2344" name="Picture 2" descr="logo media format horizontal">
          <a:extLst>
            <a:ext uri="{FF2B5EF4-FFF2-40B4-BE49-F238E27FC236}">
              <a16:creationId xmlns:a16="http://schemas.microsoft.com/office/drawing/2014/main" id="{00000000-0008-0000-0100-00002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55019375"/>
          <a:ext cx="1438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1075</xdr:row>
      <xdr:rowOff>180975</xdr:rowOff>
    </xdr:from>
    <xdr:to>
      <xdr:col>1</xdr:col>
      <xdr:colOff>4476750</xdr:colOff>
      <xdr:row>1078</xdr:row>
      <xdr:rowOff>190500</xdr:rowOff>
    </xdr:to>
    <xdr:pic>
      <xdr:nvPicPr>
        <xdr:cNvPr id="2345" name="Picture 2" descr="logo media format horizontal">
          <a:extLst>
            <a:ext uri="{FF2B5EF4-FFF2-40B4-BE49-F238E27FC236}">
              <a16:creationId xmlns:a16="http://schemas.microsoft.com/office/drawing/2014/main" id="{00000000-0008-0000-0100-00002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65992175"/>
          <a:ext cx="1438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1039</xdr:row>
      <xdr:rowOff>180975</xdr:rowOff>
    </xdr:from>
    <xdr:to>
      <xdr:col>1</xdr:col>
      <xdr:colOff>4476750</xdr:colOff>
      <xdr:row>1042</xdr:row>
      <xdr:rowOff>190500</xdr:rowOff>
    </xdr:to>
    <xdr:pic>
      <xdr:nvPicPr>
        <xdr:cNvPr id="2346" name="Picture 2" descr="logo media format horizontal">
          <a:extLst>
            <a:ext uri="{FF2B5EF4-FFF2-40B4-BE49-F238E27FC236}">
              <a16:creationId xmlns:a16="http://schemas.microsoft.com/office/drawing/2014/main" id="{00000000-0008-0000-0100-00002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60505775"/>
          <a:ext cx="14382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1114</xdr:row>
      <xdr:rowOff>76200</xdr:rowOff>
    </xdr:from>
    <xdr:to>
      <xdr:col>1</xdr:col>
      <xdr:colOff>3333750</xdr:colOff>
      <xdr:row>1115</xdr:row>
      <xdr:rowOff>142875</xdr:rowOff>
    </xdr:to>
    <xdr:pic>
      <xdr:nvPicPr>
        <xdr:cNvPr id="2347" name="Picture 2" descr="logo media format horizontal">
          <a:extLst>
            <a:ext uri="{FF2B5EF4-FFF2-40B4-BE49-F238E27FC236}">
              <a16:creationId xmlns:a16="http://schemas.microsoft.com/office/drawing/2014/main" id="{00000000-0008-0000-0100-00002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95300" y="171859575"/>
          <a:ext cx="11430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17</xdr:col>
      <xdr:colOff>485775</xdr:colOff>
      <xdr:row>38</xdr:row>
      <xdr:rowOff>9525</xdr:rowOff>
    </xdr:to>
    <xdr:pic>
      <xdr:nvPicPr>
        <xdr:cNvPr id="3143" name="Picture 6">
          <a:extLst>
            <a:ext uri="{FF2B5EF4-FFF2-40B4-BE49-F238E27FC236}">
              <a16:creationId xmlns:a16="http://schemas.microsoft.com/office/drawing/2014/main" id="{00000000-0008-0000-0200-00004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81000"/>
          <a:ext cx="9629775" cy="686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17</xdr:col>
      <xdr:colOff>485775</xdr:colOff>
      <xdr:row>75</xdr:row>
      <xdr:rowOff>9525</xdr:rowOff>
    </xdr:to>
    <xdr:pic>
      <xdr:nvPicPr>
        <xdr:cNvPr id="3144" name="Picture 7">
          <a:extLst>
            <a:ext uri="{FF2B5EF4-FFF2-40B4-BE49-F238E27FC236}">
              <a16:creationId xmlns:a16="http://schemas.microsoft.com/office/drawing/2014/main" id="{00000000-0008-0000-0200-00004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19200" y="7429500"/>
          <a:ext cx="9629775" cy="686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2"/>
  <sheetViews>
    <sheetView topLeftCell="A37" workbookViewId="0">
      <selection activeCell="D1" sqref="D1:R51"/>
    </sheetView>
  </sheetViews>
  <sheetFormatPr defaultColWidth="6.54296875" defaultRowHeight="14.5" x14ac:dyDescent="0.35"/>
  <cols>
    <col min="18" max="18" width="8.54296875" bestFit="1" customWidth="1"/>
    <col min="19" max="20" width="7.08984375" customWidth="1"/>
    <col min="21" max="21" width="10.90625" customWidth="1"/>
    <col min="22" max="22" width="11" customWidth="1"/>
    <col min="23" max="23" width="8.453125" customWidth="1"/>
    <col min="24" max="24" width="8" customWidth="1"/>
    <col min="25" max="25" width="7.54296875" customWidth="1"/>
    <col min="26" max="26" width="6" customWidth="1"/>
    <col min="27" max="27" width="6.54296875" customWidth="1"/>
    <col min="28" max="28" width="11.453125" customWidth="1"/>
    <col min="29" max="29" width="11" customWidth="1"/>
    <col min="30" max="30" width="9.453125" customWidth="1"/>
    <col min="31" max="31" width="11.453125" customWidth="1"/>
  </cols>
  <sheetData>
    <row r="1" spans="1:17" ht="18.75" customHeight="1" x14ac:dyDescent="0.45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6"/>
      <c r="K1" s="56"/>
      <c r="L1" s="56"/>
      <c r="M1" s="56"/>
      <c r="N1" s="56"/>
      <c r="O1" s="56"/>
      <c r="P1" s="56"/>
      <c r="Q1" s="56"/>
    </row>
    <row r="2" spans="1:17" ht="15.75" customHeight="1" x14ac:dyDescent="0.35">
      <c r="A2" s="57" t="s">
        <v>30</v>
      </c>
      <c r="B2" s="57"/>
      <c r="C2" s="57"/>
      <c r="D2" s="57"/>
      <c r="E2" s="57"/>
      <c r="F2" s="57"/>
      <c r="G2" s="57"/>
      <c r="H2" s="57"/>
      <c r="I2" s="57"/>
      <c r="J2" s="56"/>
      <c r="K2" s="56"/>
      <c r="L2" s="56"/>
      <c r="M2" s="56"/>
      <c r="N2" s="56"/>
      <c r="O2" s="56"/>
      <c r="P2" s="56"/>
      <c r="Q2" s="56"/>
    </row>
    <row r="6" spans="1:17" x14ac:dyDescent="0.35">
      <c r="L6" s="54" t="s">
        <v>35</v>
      </c>
      <c r="M6" t="s">
        <v>36</v>
      </c>
    </row>
    <row r="7" spans="1:17" x14ac:dyDescent="0.35">
      <c r="L7" s="54" t="s">
        <v>37</v>
      </c>
      <c r="M7" t="s">
        <v>38</v>
      </c>
    </row>
    <row r="8" spans="1:17" x14ac:dyDescent="0.35">
      <c r="L8" s="54" t="s">
        <v>31</v>
      </c>
      <c r="M8" t="s">
        <v>32</v>
      </c>
    </row>
    <row r="9" spans="1:17" x14ac:dyDescent="0.35">
      <c r="L9" s="54" t="s">
        <v>33</v>
      </c>
      <c r="M9" t="s">
        <v>34</v>
      </c>
    </row>
    <row r="10" spans="1:17" x14ac:dyDescent="0.35">
      <c r="L10" s="59" t="s">
        <v>47</v>
      </c>
      <c r="M10" t="s">
        <v>39</v>
      </c>
    </row>
    <row r="11" spans="1:17" x14ac:dyDescent="0.35">
      <c r="L11" s="54" t="s">
        <v>40</v>
      </c>
      <c r="M11" t="s">
        <v>41</v>
      </c>
    </row>
    <row r="12" spans="1:17" x14ac:dyDescent="0.35">
      <c r="L12" s="59" t="s">
        <v>48</v>
      </c>
      <c r="M12" s="32" t="s">
        <v>49</v>
      </c>
    </row>
    <row r="16" spans="1:17" x14ac:dyDescent="0.35">
      <c r="K16" s="58" t="s">
        <v>43</v>
      </c>
      <c r="O16" s="33" t="s">
        <v>45</v>
      </c>
    </row>
    <row r="17" spans="10:15" x14ac:dyDescent="0.35">
      <c r="K17" s="60" t="s">
        <v>51</v>
      </c>
      <c r="O17" s="33" t="s">
        <v>44</v>
      </c>
    </row>
    <row r="18" spans="10:15" x14ac:dyDescent="0.35">
      <c r="K18" s="32" t="s">
        <v>46</v>
      </c>
      <c r="O18" s="33" t="s">
        <v>50</v>
      </c>
    </row>
    <row r="20" spans="10:15" x14ac:dyDescent="0.35">
      <c r="K20" t="s">
        <v>60</v>
      </c>
    </row>
    <row r="24" spans="10:15" x14ac:dyDescent="0.35">
      <c r="J24" s="60" t="s">
        <v>67</v>
      </c>
      <c r="N24" s="33" t="s">
        <v>68</v>
      </c>
    </row>
    <row r="25" spans="10:15" x14ac:dyDescent="0.35">
      <c r="J25" s="58" t="s">
        <v>43</v>
      </c>
      <c r="N25" s="33" t="s">
        <v>70</v>
      </c>
    </row>
    <row r="26" spans="10:15" x14ac:dyDescent="0.35">
      <c r="J26" s="32" t="s">
        <v>46</v>
      </c>
      <c r="N26" s="33" t="s">
        <v>50</v>
      </c>
    </row>
    <row r="36" spans="4:32" x14ac:dyDescent="0.35">
      <c r="V36" s="82">
        <v>3</v>
      </c>
      <c r="W36" s="4"/>
      <c r="X36" s="4"/>
      <c r="Y36" s="83"/>
      <c r="Z36" s="85"/>
      <c r="AA36" s="85"/>
      <c r="AB36" s="85">
        <v>5</v>
      </c>
      <c r="AC36" s="83">
        <v>0.5</v>
      </c>
    </row>
    <row r="37" spans="4:32" x14ac:dyDescent="0.35">
      <c r="D37" s="69" t="s">
        <v>59</v>
      </c>
      <c r="O37" s="63" t="s">
        <v>55</v>
      </c>
      <c r="P37" s="64"/>
      <c r="Q37" s="64"/>
      <c r="R37" s="65"/>
      <c r="U37" s="77" t="s">
        <v>77</v>
      </c>
      <c r="V37" s="77" t="s">
        <v>78</v>
      </c>
      <c r="W37" s="77" t="s">
        <v>86</v>
      </c>
      <c r="X37" s="77" t="s">
        <v>84</v>
      </c>
      <c r="Y37" s="77" t="s">
        <v>87</v>
      </c>
      <c r="Z37" s="77" t="s">
        <v>93</v>
      </c>
      <c r="AA37" s="77" t="s">
        <v>91</v>
      </c>
      <c r="AB37" s="77" t="s">
        <v>89</v>
      </c>
      <c r="AC37" s="77" t="s">
        <v>80</v>
      </c>
      <c r="AD37" s="90" t="s">
        <v>82</v>
      </c>
      <c r="AE37" s="91"/>
      <c r="AF37" s="92"/>
    </row>
    <row r="38" spans="4:32" x14ac:dyDescent="0.35">
      <c r="D38" s="35" t="s">
        <v>20</v>
      </c>
      <c r="E38" s="63" t="s">
        <v>42</v>
      </c>
      <c r="F38" s="74"/>
      <c r="G38" s="7"/>
      <c r="H38" s="61" t="s">
        <v>35</v>
      </c>
      <c r="I38" s="61" t="s">
        <v>37</v>
      </c>
      <c r="J38" s="61" t="s">
        <v>31</v>
      </c>
      <c r="K38" s="61" t="s">
        <v>33</v>
      </c>
      <c r="L38" s="61" t="s">
        <v>47</v>
      </c>
      <c r="M38" s="61" t="s">
        <v>40</v>
      </c>
      <c r="N38" s="61" t="s">
        <v>48</v>
      </c>
      <c r="O38" s="61" t="s">
        <v>54</v>
      </c>
      <c r="P38" s="61" t="s">
        <v>52</v>
      </c>
      <c r="Q38" s="61" t="s">
        <v>53</v>
      </c>
      <c r="R38" s="61" t="s">
        <v>19</v>
      </c>
      <c r="S38" s="61" t="s">
        <v>21</v>
      </c>
      <c r="T38" s="61" t="s">
        <v>75</v>
      </c>
      <c r="U38" s="78" t="s">
        <v>12</v>
      </c>
      <c r="V38" s="78" t="s">
        <v>79</v>
      </c>
      <c r="W38" s="78" t="s">
        <v>85</v>
      </c>
      <c r="X38" s="78" t="s">
        <v>85</v>
      </c>
      <c r="Y38" s="78" t="s">
        <v>88</v>
      </c>
      <c r="Z38" s="78" t="s">
        <v>88</v>
      </c>
      <c r="AA38" s="78" t="s">
        <v>92</v>
      </c>
      <c r="AB38" s="78" t="s">
        <v>90</v>
      </c>
      <c r="AC38" s="78" t="s">
        <v>81</v>
      </c>
      <c r="AD38" s="61" t="s">
        <v>83</v>
      </c>
      <c r="AE38" s="61" t="s">
        <v>27</v>
      </c>
      <c r="AF38" s="61" t="s">
        <v>19</v>
      </c>
    </row>
    <row r="39" spans="4:32" x14ac:dyDescent="0.35">
      <c r="D39" s="6">
        <v>1</v>
      </c>
      <c r="E39" s="32" t="s">
        <v>56</v>
      </c>
      <c r="G39" s="7"/>
      <c r="H39" s="62">
        <v>2.2000000000000002</v>
      </c>
      <c r="I39" s="62">
        <v>4.5999999999999996</v>
      </c>
      <c r="J39" s="62">
        <v>0.5</v>
      </c>
      <c r="K39" s="62">
        <v>0.1</v>
      </c>
      <c r="L39" s="62">
        <v>0.4</v>
      </c>
      <c r="M39" s="62">
        <v>0.2</v>
      </c>
      <c r="N39" s="62">
        <v>0.15</v>
      </c>
      <c r="O39" s="62">
        <f>(3.14*J39*K39)+(3.14*(0.5*J39)^2)</f>
        <v>0.35325000000000006</v>
      </c>
      <c r="P39" s="62">
        <f>(3.14*H39*I39)+(2*3.14*(0.5*H39)^2)</f>
        <v>39.375600000000006</v>
      </c>
      <c r="Q39" s="62">
        <f xml:space="preserve"> 4*((2*L39*M39)+(4*L39*N39))</f>
        <v>1.6</v>
      </c>
      <c r="R39" s="62">
        <f>+O39+P39+Q39</f>
        <v>41.32885000000001</v>
      </c>
      <c r="S39" s="70">
        <f>3.14*(0.5*H39)^2*I39*1000</f>
        <v>17477.240000000002</v>
      </c>
      <c r="T39" s="5">
        <v>16000</v>
      </c>
      <c r="U39" s="80">
        <f>ROUNDUP(R39,0)</f>
        <v>42</v>
      </c>
      <c r="V39" s="80">
        <f>ROUNDUP(V$36*U39/8,0)</f>
        <v>16</v>
      </c>
      <c r="W39" s="80">
        <v>2</v>
      </c>
      <c r="X39" s="80">
        <v>1</v>
      </c>
      <c r="Y39" s="80">
        <v>1</v>
      </c>
      <c r="Z39" s="80">
        <v>2</v>
      </c>
      <c r="AA39" s="80">
        <v>2</v>
      </c>
      <c r="AB39" s="79">
        <f>+U39/AB$36</f>
        <v>8.4</v>
      </c>
      <c r="AC39" s="79">
        <f>+AC$36*U39</f>
        <v>21</v>
      </c>
      <c r="AD39" s="80">
        <v>3</v>
      </c>
      <c r="AE39" s="80">
        <v>2</v>
      </c>
      <c r="AF39" s="80">
        <f>+AD39+AE39</f>
        <v>5</v>
      </c>
    </row>
    <row r="40" spans="4:32" x14ac:dyDescent="0.35">
      <c r="D40" s="6">
        <f>+D39+1</f>
        <v>2</v>
      </c>
      <c r="E40" s="68" t="s">
        <v>57</v>
      </c>
      <c r="F40" s="72"/>
      <c r="G40" s="7"/>
      <c r="H40" s="62">
        <v>1.5</v>
      </c>
      <c r="I40" s="62">
        <v>3.2</v>
      </c>
      <c r="J40" s="62">
        <v>0.5</v>
      </c>
      <c r="K40" s="62">
        <v>0.1</v>
      </c>
      <c r="L40" s="62">
        <v>0.4</v>
      </c>
      <c r="M40" s="62">
        <v>0.2</v>
      </c>
      <c r="N40" s="62">
        <v>0.15</v>
      </c>
      <c r="O40" s="62">
        <f>(3.14*J40*K40)+(3.14*(0.5*J40)^2)</f>
        <v>0.35325000000000006</v>
      </c>
      <c r="P40" s="62">
        <f>(3.14*H40*I40)+(2*3.14*(0.5*H40)^2)</f>
        <v>18.604500000000002</v>
      </c>
      <c r="Q40" s="62">
        <f xml:space="preserve"> 4*((2*L40*M40)+(4*L40*N40))</f>
        <v>1.6</v>
      </c>
      <c r="R40" s="62">
        <f>+O40+P40+Q40</f>
        <v>20.557750000000002</v>
      </c>
      <c r="S40" s="70">
        <f>3.14*(0.5*H40)^2*I40*1000</f>
        <v>5652.0000000000009</v>
      </c>
      <c r="T40" s="5">
        <v>6000</v>
      </c>
      <c r="U40" s="80">
        <f t="shared" ref="U40:U51" si="0">ROUNDUP(R40,0)</f>
        <v>21</v>
      </c>
      <c r="V40" s="80">
        <f>ROUNDUP(V$36*U40/8,0)</f>
        <v>8</v>
      </c>
      <c r="W40" s="80">
        <v>2</v>
      </c>
      <c r="X40" s="80">
        <v>1</v>
      </c>
      <c r="Y40" s="80">
        <v>1</v>
      </c>
      <c r="Z40" s="80">
        <v>2</v>
      </c>
      <c r="AA40" s="80">
        <v>2</v>
      </c>
      <c r="AB40" s="79">
        <f>+U40/AB$36</f>
        <v>4.2</v>
      </c>
      <c r="AC40" s="79">
        <f>+AC$36*U40</f>
        <v>10.5</v>
      </c>
      <c r="AD40" s="80">
        <v>2</v>
      </c>
      <c r="AE40" s="80">
        <v>2</v>
      </c>
      <c r="AF40" s="80">
        <f t="shared" ref="AF40:AF48" si="1">+AD40+AE40</f>
        <v>4</v>
      </c>
    </row>
    <row r="41" spans="4:32" x14ac:dyDescent="0.35">
      <c r="D41" s="6">
        <f>+D40+1</f>
        <v>3</v>
      </c>
      <c r="E41" s="66" t="s">
        <v>58</v>
      </c>
      <c r="F41" s="73"/>
      <c r="G41" s="7"/>
      <c r="H41" s="62">
        <v>1.4</v>
      </c>
      <c r="I41" s="62">
        <v>3.46</v>
      </c>
      <c r="J41" s="62">
        <v>0.5</v>
      </c>
      <c r="K41" s="62">
        <v>0.1</v>
      </c>
      <c r="L41" s="62">
        <v>0.4</v>
      </c>
      <c r="M41" s="62">
        <v>0.2</v>
      </c>
      <c r="N41" s="62">
        <v>0.15</v>
      </c>
      <c r="O41" s="62">
        <f>(3.14*J41*K41)+(3.14*(0.5*J41)^2)</f>
        <v>0.35325000000000006</v>
      </c>
      <c r="P41" s="62">
        <f>(3.14*H41*I41)+(2*3.14*(0.5*H41)^2)</f>
        <v>18.28736</v>
      </c>
      <c r="Q41" s="62">
        <f xml:space="preserve"> 4*((2*L41*M41)+(4*L41*N41))</f>
        <v>1.6</v>
      </c>
      <c r="R41" s="62">
        <f>+O41+P41+Q41</f>
        <v>20.24061</v>
      </c>
      <c r="S41" s="70">
        <f>3.14*(0.5*H41)^2*I41*1000</f>
        <v>5323.5559999999996</v>
      </c>
      <c r="T41" s="5">
        <v>6000</v>
      </c>
      <c r="U41" s="80">
        <f t="shared" si="0"/>
        <v>21</v>
      </c>
      <c r="V41" s="80">
        <f>ROUNDUP(V$36*U41/8,0)</f>
        <v>8</v>
      </c>
      <c r="W41" s="80">
        <v>2</v>
      </c>
      <c r="X41" s="80">
        <v>1</v>
      </c>
      <c r="Y41" s="80">
        <v>1</v>
      </c>
      <c r="Z41" s="80">
        <v>2</v>
      </c>
      <c r="AA41" s="80">
        <v>2</v>
      </c>
      <c r="AB41" s="79">
        <f>+U41/AB$36</f>
        <v>4.2</v>
      </c>
      <c r="AC41" s="79">
        <f>+AC$36*U41</f>
        <v>10.5</v>
      </c>
      <c r="AD41" s="80">
        <v>2</v>
      </c>
      <c r="AE41" s="80">
        <v>2</v>
      </c>
      <c r="AF41" s="80">
        <f t="shared" si="1"/>
        <v>4</v>
      </c>
    </row>
    <row r="42" spans="4:32" x14ac:dyDescent="0.35">
      <c r="D42" s="6">
        <f>+D41+1</f>
        <v>4</v>
      </c>
      <c r="E42" s="66" t="s">
        <v>61</v>
      </c>
      <c r="F42" s="73"/>
      <c r="G42" s="7"/>
      <c r="H42" s="62">
        <v>1.77</v>
      </c>
      <c r="I42" s="62">
        <v>3.1</v>
      </c>
      <c r="J42" s="62">
        <v>0.5</v>
      </c>
      <c r="K42" s="62">
        <v>0.1</v>
      </c>
      <c r="L42" s="62">
        <v>0.4</v>
      </c>
      <c r="M42" s="62">
        <v>0.2</v>
      </c>
      <c r="N42" s="62">
        <v>0.15</v>
      </c>
      <c r="O42" s="62">
        <f t="shared" ref="O42:O47" si="2">(3.14*J42*K42)+(3.14*(0.5*J42)^2)</f>
        <v>0.35325000000000006</v>
      </c>
      <c r="P42" s="62">
        <f>(3.14*H42*I42)+(2*3.14*(0.5*H42)^2)</f>
        <v>22.147833000000006</v>
      </c>
      <c r="Q42" s="62">
        <f t="shared" ref="Q42:Q47" si="3" xml:space="preserve"> 4*((2*L42*M42)+(4*L42*N42))</f>
        <v>1.6</v>
      </c>
      <c r="R42" s="62">
        <f t="shared" ref="R42:R47" si="4">+O42+P42+Q42</f>
        <v>24.101083000000006</v>
      </c>
      <c r="S42" s="70">
        <f>3.14*(0.5*H42)^2*I42*1000</f>
        <v>7623.9121500000019</v>
      </c>
      <c r="T42" s="5">
        <v>9000</v>
      </c>
      <c r="U42" s="80">
        <f t="shared" si="0"/>
        <v>25</v>
      </c>
      <c r="V42" s="80">
        <f>ROUNDUP(V$36*U42/8,0)</f>
        <v>10</v>
      </c>
      <c r="W42" s="80">
        <v>2</v>
      </c>
      <c r="X42" s="80">
        <v>1</v>
      </c>
      <c r="Y42" s="80">
        <v>1</v>
      </c>
      <c r="Z42" s="80">
        <v>2</v>
      </c>
      <c r="AA42" s="80">
        <v>2</v>
      </c>
      <c r="AB42" s="79">
        <f>+U42/AB$36</f>
        <v>5</v>
      </c>
      <c r="AC42" s="79">
        <f>+AC$36*U42</f>
        <v>12.5</v>
      </c>
      <c r="AD42" s="80">
        <v>2</v>
      </c>
      <c r="AE42" s="80">
        <v>2</v>
      </c>
      <c r="AF42" s="80">
        <f t="shared" si="1"/>
        <v>4</v>
      </c>
    </row>
    <row r="43" spans="4:32" x14ac:dyDescent="0.35">
      <c r="D43" s="6">
        <f>+D42+1</f>
        <v>5</v>
      </c>
      <c r="E43" s="66" t="s">
        <v>63</v>
      </c>
      <c r="F43" s="73"/>
      <c r="G43" s="7"/>
      <c r="H43" s="62">
        <v>1.73</v>
      </c>
      <c r="I43" s="62">
        <v>3.08</v>
      </c>
      <c r="J43" s="62">
        <v>0.5</v>
      </c>
      <c r="K43" s="62">
        <v>0.1</v>
      </c>
      <c r="L43" s="62">
        <v>0.4</v>
      </c>
      <c r="M43" s="62">
        <v>0.2</v>
      </c>
      <c r="N43" s="62">
        <v>0.15</v>
      </c>
      <c r="O43" s="62">
        <f t="shared" si="2"/>
        <v>0.35325000000000006</v>
      </c>
      <c r="P43" s="62">
        <f>(3.14*H43*I43)+(2*3.14*(0.5*H43)^2)</f>
        <v>21.430029000000001</v>
      </c>
      <c r="Q43" s="62">
        <f t="shared" si="3"/>
        <v>1.6</v>
      </c>
      <c r="R43" s="62">
        <f t="shared" si="4"/>
        <v>23.383279000000002</v>
      </c>
      <c r="S43" s="70">
        <f>3.14*(0.5*H43)^2*I43*1000</f>
        <v>7236.2336200000009</v>
      </c>
      <c r="T43" s="5">
        <v>5500</v>
      </c>
      <c r="U43" s="80">
        <f t="shared" si="0"/>
        <v>24</v>
      </c>
      <c r="V43" s="80">
        <f>ROUNDUP(V$36*U43/8,0)</f>
        <v>9</v>
      </c>
      <c r="W43" s="80">
        <v>2</v>
      </c>
      <c r="X43" s="80">
        <v>1</v>
      </c>
      <c r="Y43" s="80">
        <v>1</v>
      </c>
      <c r="Z43" s="80">
        <v>2</v>
      </c>
      <c r="AA43" s="80">
        <v>2</v>
      </c>
      <c r="AB43" s="79">
        <f>+U43/AB$36</f>
        <v>4.8</v>
      </c>
      <c r="AC43" s="79">
        <f>+AC$36*U43</f>
        <v>12</v>
      </c>
      <c r="AD43" s="80">
        <v>2</v>
      </c>
      <c r="AE43" s="80">
        <v>2</v>
      </c>
      <c r="AF43" s="80">
        <f t="shared" si="1"/>
        <v>4</v>
      </c>
    </row>
    <row r="44" spans="4:32" x14ac:dyDescent="0.35">
      <c r="D44" s="75" t="s">
        <v>76</v>
      </c>
      <c r="E44" s="71"/>
      <c r="F44" s="72"/>
      <c r="G44" s="76"/>
      <c r="H44" s="61" t="s">
        <v>35</v>
      </c>
      <c r="I44" s="61" t="s">
        <v>37</v>
      </c>
      <c r="J44" s="61" t="s">
        <v>31</v>
      </c>
      <c r="K44" s="61" t="s">
        <v>33</v>
      </c>
      <c r="L44" s="61" t="s">
        <v>47</v>
      </c>
      <c r="M44" s="61" t="s">
        <v>40</v>
      </c>
      <c r="N44" s="61" t="s">
        <v>48</v>
      </c>
      <c r="O44" s="61" t="s">
        <v>54</v>
      </c>
      <c r="P44" s="61" t="s">
        <v>52</v>
      </c>
      <c r="Q44" s="61" t="s">
        <v>53</v>
      </c>
      <c r="R44" s="61" t="s">
        <v>19</v>
      </c>
      <c r="S44" s="61" t="s">
        <v>21</v>
      </c>
      <c r="T44" s="5"/>
      <c r="U44" s="80"/>
      <c r="V44" s="80"/>
      <c r="W44" s="80"/>
      <c r="X44" s="80"/>
      <c r="Y44" s="80"/>
      <c r="Z44" s="80"/>
      <c r="AA44" s="80"/>
      <c r="AB44" s="79"/>
      <c r="AC44" s="79"/>
      <c r="AD44" s="80"/>
      <c r="AE44" s="80"/>
      <c r="AF44" s="80"/>
    </row>
    <row r="45" spans="4:32" x14ac:dyDescent="0.35">
      <c r="D45" s="6">
        <v>6</v>
      </c>
      <c r="E45" s="66" t="s">
        <v>64</v>
      </c>
      <c r="F45" s="73"/>
      <c r="G45" s="7"/>
      <c r="H45" s="62">
        <v>2.6</v>
      </c>
      <c r="I45" s="62">
        <v>3.4</v>
      </c>
      <c r="J45" s="62">
        <v>0.5</v>
      </c>
      <c r="K45" s="62">
        <v>0.1</v>
      </c>
      <c r="L45" s="62">
        <v>0</v>
      </c>
      <c r="M45" s="62">
        <v>0</v>
      </c>
      <c r="N45" s="62">
        <v>0</v>
      </c>
      <c r="O45" s="62">
        <f>(3.14*J45*K45)+(3.14*(0.5*J45)^2)</f>
        <v>0.35325000000000006</v>
      </c>
      <c r="P45" s="62">
        <f>(3.14*H45*I45)+(2*3.14*(0.5*H45)^2)</f>
        <v>38.370800000000003</v>
      </c>
      <c r="Q45" s="62">
        <f xml:space="preserve"> 4*((2*L45*M45)+(4*L45*N45))</f>
        <v>0</v>
      </c>
      <c r="R45" s="62">
        <f>+O45+P45+Q45</f>
        <v>38.724050000000005</v>
      </c>
      <c r="S45" s="70">
        <f>3.14*(0.5*H45)^2*I45*1000</f>
        <v>18042.440000000002</v>
      </c>
      <c r="T45" s="5">
        <v>12000</v>
      </c>
      <c r="U45" s="80">
        <f t="shared" si="0"/>
        <v>39</v>
      </c>
      <c r="V45" s="80">
        <f>ROUNDUP(V$36*U45/8,0)</f>
        <v>15</v>
      </c>
      <c r="W45" s="80">
        <v>2</v>
      </c>
      <c r="X45" s="80">
        <v>1</v>
      </c>
      <c r="Y45" s="80">
        <v>1</v>
      </c>
      <c r="Z45" s="80">
        <v>2</v>
      </c>
      <c r="AA45" s="80">
        <v>2</v>
      </c>
      <c r="AB45" s="79">
        <f>+U45/AB$36</f>
        <v>7.8</v>
      </c>
      <c r="AC45" s="79">
        <f>+AC$36*U45</f>
        <v>19.5</v>
      </c>
      <c r="AD45" s="80">
        <v>3</v>
      </c>
      <c r="AE45" s="80">
        <v>2</v>
      </c>
      <c r="AF45" s="80">
        <f t="shared" si="1"/>
        <v>5</v>
      </c>
    </row>
    <row r="46" spans="4:32" x14ac:dyDescent="0.35">
      <c r="D46" s="75" t="s">
        <v>66</v>
      </c>
      <c r="E46" s="71"/>
      <c r="F46" s="72"/>
      <c r="G46" s="61" t="s">
        <v>69</v>
      </c>
      <c r="H46" s="61" t="s">
        <v>35</v>
      </c>
      <c r="I46" s="61" t="s">
        <v>37</v>
      </c>
      <c r="J46" s="61" t="s">
        <v>31</v>
      </c>
      <c r="K46" s="61" t="s">
        <v>33</v>
      </c>
      <c r="L46" s="61" t="s">
        <v>47</v>
      </c>
      <c r="M46" s="61" t="s">
        <v>40</v>
      </c>
      <c r="N46" s="61" t="s">
        <v>48</v>
      </c>
      <c r="O46" s="61" t="s">
        <v>54</v>
      </c>
      <c r="P46" s="61" t="s">
        <v>52</v>
      </c>
      <c r="Q46" s="61" t="s">
        <v>53</v>
      </c>
      <c r="R46" s="61" t="s">
        <v>19</v>
      </c>
      <c r="S46" s="61" t="s">
        <v>21</v>
      </c>
      <c r="T46" s="5"/>
      <c r="U46" s="80"/>
      <c r="V46" s="80"/>
      <c r="W46" s="80"/>
      <c r="X46" s="80"/>
      <c r="Y46" s="80"/>
      <c r="Z46" s="80"/>
      <c r="AA46" s="80"/>
      <c r="AB46" s="79"/>
      <c r="AC46" s="79"/>
      <c r="AD46" s="80"/>
      <c r="AE46" s="80"/>
      <c r="AF46" s="80"/>
    </row>
    <row r="47" spans="4:32" x14ac:dyDescent="0.35">
      <c r="D47" s="6">
        <v>7</v>
      </c>
      <c r="E47" s="66" t="s">
        <v>62</v>
      </c>
      <c r="F47" s="67"/>
      <c r="G47" s="62">
        <v>1.23</v>
      </c>
      <c r="H47" s="62">
        <v>1.37</v>
      </c>
      <c r="I47" s="62">
        <v>3.07</v>
      </c>
      <c r="J47" s="62">
        <v>0.5</v>
      </c>
      <c r="K47" s="62">
        <v>0.1</v>
      </c>
      <c r="L47" s="62">
        <v>0.4</v>
      </c>
      <c r="M47" s="62">
        <v>0.2</v>
      </c>
      <c r="N47" s="62">
        <v>0.15</v>
      </c>
      <c r="O47" s="62">
        <f t="shared" si="2"/>
        <v>0.35325000000000006</v>
      </c>
      <c r="P47" s="62">
        <f>(3.14*((0.5*H47)+(0.5*G47))*I47)+(3.14*0.5*H47*0.5*G47)</f>
        <v>13.854543500000002</v>
      </c>
      <c r="Q47" s="62">
        <f t="shared" si="3"/>
        <v>1.6</v>
      </c>
      <c r="R47" s="62">
        <f t="shared" si="4"/>
        <v>15.807793500000001</v>
      </c>
      <c r="S47" s="70">
        <f>3.14*0.5*H47*0.5*G47*I47*1000</f>
        <v>4061.0067450000001</v>
      </c>
      <c r="T47" s="5">
        <v>5000</v>
      </c>
      <c r="U47" s="80">
        <f t="shared" si="0"/>
        <v>16</v>
      </c>
      <c r="V47" s="80">
        <f>ROUNDUP(V$36*U47/8,0)</f>
        <v>6</v>
      </c>
      <c r="W47" s="80">
        <v>2</v>
      </c>
      <c r="X47" s="80">
        <v>1</v>
      </c>
      <c r="Y47" s="80">
        <v>1</v>
      </c>
      <c r="Z47" s="80">
        <v>2</v>
      </c>
      <c r="AA47" s="80">
        <v>2</v>
      </c>
      <c r="AB47" s="79">
        <f>+U47/AB$36</f>
        <v>3.2</v>
      </c>
      <c r="AC47" s="79">
        <f>+AC$36*U47</f>
        <v>8</v>
      </c>
      <c r="AD47" s="80">
        <v>2</v>
      </c>
      <c r="AE47" s="80">
        <v>2</v>
      </c>
      <c r="AF47" s="80">
        <f t="shared" si="1"/>
        <v>4</v>
      </c>
    </row>
    <row r="48" spans="4:32" x14ac:dyDescent="0.35">
      <c r="D48" s="6">
        <v>8</v>
      </c>
      <c r="E48" s="66" t="s">
        <v>65</v>
      </c>
      <c r="F48" s="67"/>
      <c r="G48" s="62">
        <v>1.43</v>
      </c>
      <c r="H48" s="62">
        <v>1.6</v>
      </c>
      <c r="I48" s="62">
        <v>4.0199999999999996</v>
      </c>
      <c r="J48" s="62">
        <v>0.5</v>
      </c>
      <c r="K48" s="62">
        <v>0.1</v>
      </c>
      <c r="L48" s="62">
        <v>0.4</v>
      </c>
      <c r="M48" s="62">
        <v>0.2</v>
      </c>
      <c r="N48" s="62">
        <v>0.15</v>
      </c>
      <c r="O48" s="62">
        <f>(3.14*J48*K48)+(3.14*(0.5*J48)^2)</f>
        <v>0.35325000000000006</v>
      </c>
      <c r="P48" s="62">
        <f>(3.14*((0.5*H48)+(0.5*G48))*I48)+(3.14*0.5*H48*0.5*G48)</f>
        <v>20.919622</v>
      </c>
      <c r="Q48" s="62">
        <f xml:space="preserve"> 4*((2*L48*M48)+(4*L48*N48))</f>
        <v>1.6</v>
      </c>
      <c r="R48" s="62">
        <f>+O48+P48+Q48</f>
        <v>22.872872000000001</v>
      </c>
      <c r="S48" s="70">
        <f>3.14*0.5*H48*0.5*G48*I48*1000</f>
        <v>7220.2416000000003</v>
      </c>
      <c r="T48" s="5">
        <v>6000</v>
      </c>
      <c r="U48" s="80">
        <f t="shared" si="0"/>
        <v>23</v>
      </c>
      <c r="V48" s="80">
        <f>ROUNDUP(V$36*U48/8,0)</f>
        <v>9</v>
      </c>
      <c r="W48" s="80">
        <v>2</v>
      </c>
      <c r="X48" s="80">
        <v>1</v>
      </c>
      <c r="Y48" s="80">
        <v>1</v>
      </c>
      <c r="Z48" s="80">
        <v>2</v>
      </c>
      <c r="AA48" s="80">
        <v>2</v>
      </c>
      <c r="AB48" s="79">
        <f>+U48/AB$36</f>
        <v>4.5999999999999996</v>
      </c>
      <c r="AC48" s="79">
        <f>+AC$36*U48</f>
        <v>11.5</v>
      </c>
      <c r="AD48" s="80">
        <v>2</v>
      </c>
      <c r="AE48" s="80">
        <v>2</v>
      </c>
      <c r="AF48" s="80">
        <f t="shared" si="1"/>
        <v>4</v>
      </c>
    </row>
    <row r="49" spans="4:32" x14ac:dyDescent="0.35">
      <c r="D49" s="75" t="s">
        <v>71</v>
      </c>
      <c r="E49" s="71"/>
      <c r="F49" s="72"/>
      <c r="G49" s="61" t="s">
        <v>69</v>
      </c>
      <c r="H49" s="61" t="s">
        <v>35</v>
      </c>
      <c r="I49" s="61" t="s">
        <v>37</v>
      </c>
      <c r="J49" s="61" t="s">
        <v>31</v>
      </c>
      <c r="K49" s="61" t="s">
        <v>33</v>
      </c>
      <c r="L49" s="61" t="s">
        <v>47</v>
      </c>
      <c r="M49" s="61" t="s">
        <v>40</v>
      </c>
      <c r="N49" s="61" t="s">
        <v>48</v>
      </c>
      <c r="O49" s="61" t="s">
        <v>54</v>
      </c>
      <c r="P49" s="61" t="s">
        <v>52</v>
      </c>
      <c r="Q49" s="61" t="s">
        <v>53</v>
      </c>
      <c r="R49" s="61" t="s">
        <v>19</v>
      </c>
      <c r="S49" s="61" t="s">
        <v>21</v>
      </c>
      <c r="T49" s="5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</row>
    <row r="50" spans="4:32" x14ac:dyDescent="0.35">
      <c r="D50" s="6">
        <f>+D48+1</f>
        <v>9</v>
      </c>
      <c r="E50" s="66" t="s">
        <v>72</v>
      </c>
      <c r="F50" s="67"/>
      <c r="G50" s="62"/>
      <c r="H50" s="62"/>
      <c r="I50" s="62"/>
      <c r="J50" s="62"/>
      <c r="K50" s="62"/>
      <c r="L50" s="62"/>
      <c r="M50" s="62"/>
      <c r="N50" s="62"/>
      <c r="O50" s="62">
        <f>(3.14*J50*K50)+(3.14*(0.5*J50)^2)</f>
        <v>0</v>
      </c>
      <c r="P50" s="62">
        <f>(3.14*((0.5*H50)+(0.5*G50))*I50)+(3.14*0.5*H50*0.5*G50)</f>
        <v>0</v>
      </c>
      <c r="Q50" s="62">
        <f xml:space="preserve"> 4*((2*L50*M50)+(4*L50*N50))</f>
        <v>0</v>
      </c>
      <c r="R50" s="62">
        <f>+O50+P50+Q50</f>
        <v>0</v>
      </c>
      <c r="S50" s="70">
        <f>3.14*0.5*H50*0.5*G50*I50*1000</f>
        <v>0</v>
      </c>
      <c r="T50" s="5">
        <v>14000</v>
      </c>
      <c r="U50" s="80">
        <f t="shared" si="0"/>
        <v>0</v>
      </c>
      <c r="V50" s="80">
        <f t="shared" ref="V50:Y51" si="5">ROUNDUP(V$36*U50/8,0)</f>
        <v>0</v>
      </c>
      <c r="W50" s="80">
        <f t="shared" si="5"/>
        <v>0</v>
      </c>
      <c r="X50" s="80">
        <f t="shared" si="5"/>
        <v>0</v>
      </c>
      <c r="Y50" s="80">
        <f t="shared" si="5"/>
        <v>0</v>
      </c>
      <c r="Z50" s="80">
        <f t="shared" ref="Z50:AB51" si="6">ROUNDUP(Z$36*W50/8,0)</f>
        <v>0</v>
      </c>
      <c r="AA50" s="80">
        <f t="shared" si="6"/>
        <v>0</v>
      </c>
      <c r="AB50" s="80">
        <f t="shared" si="6"/>
        <v>0</v>
      </c>
      <c r="AC50" s="80">
        <f>+AC$36*U50</f>
        <v>0</v>
      </c>
      <c r="AD50" s="80">
        <f>+AD$36*V50</f>
        <v>0</v>
      </c>
      <c r="AE50" s="80">
        <f>+AE$36*AC50</f>
        <v>0</v>
      </c>
      <c r="AF50" s="80">
        <f>+AF$36*AD50</f>
        <v>0</v>
      </c>
    </row>
    <row r="51" spans="4:32" x14ac:dyDescent="0.35">
      <c r="D51" s="6">
        <f>+D50+1</f>
        <v>10</v>
      </c>
      <c r="E51" s="66" t="s">
        <v>73</v>
      </c>
      <c r="F51" s="67"/>
      <c r="G51" s="62"/>
      <c r="H51" s="62"/>
      <c r="I51" s="62"/>
      <c r="J51" s="62"/>
      <c r="K51" s="62"/>
      <c r="L51" s="62"/>
      <c r="M51" s="62"/>
      <c r="N51" s="62"/>
      <c r="O51" s="62">
        <f>(3.14*J51*K51)+(3.14*(0.5*J51)^2)</f>
        <v>0</v>
      </c>
      <c r="P51" s="62">
        <f>(3.14*((0.5*H51)+(0.5*G51))*I51)+(3.14*0.5*H51*0.5*G51)</f>
        <v>0</v>
      </c>
      <c r="Q51" s="62">
        <f xml:space="preserve"> 4*((2*L51*M51)+(4*L51*N51))</f>
        <v>0</v>
      </c>
      <c r="R51" s="62">
        <f>+O51+P51+Q51</f>
        <v>0</v>
      </c>
      <c r="S51" s="70">
        <f>3.14*0.5*H51*0.5*G51*I51*1000</f>
        <v>0</v>
      </c>
      <c r="T51" s="34" t="s">
        <v>74</v>
      </c>
      <c r="U51" s="80">
        <f t="shared" si="0"/>
        <v>0</v>
      </c>
      <c r="V51" s="80">
        <f t="shared" si="5"/>
        <v>0</v>
      </c>
      <c r="W51" s="80">
        <f t="shared" si="5"/>
        <v>0</v>
      </c>
      <c r="X51" s="80">
        <f t="shared" si="5"/>
        <v>0</v>
      </c>
      <c r="Y51" s="80">
        <f t="shared" si="5"/>
        <v>0</v>
      </c>
      <c r="Z51" s="80">
        <f t="shared" si="6"/>
        <v>0</v>
      </c>
      <c r="AA51" s="80">
        <f t="shared" si="6"/>
        <v>0</v>
      </c>
      <c r="AB51" s="80">
        <f t="shared" si="6"/>
        <v>0</v>
      </c>
      <c r="AC51" s="80">
        <f>+AC$36*U51</f>
        <v>0</v>
      </c>
      <c r="AD51" s="80">
        <f>+AD$36*V51</f>
        <v>0</v>
      </c>
      <c r="AE51" s="80">
        <f>+AE$36*AC51</f>
        <v>0</v>
      </c>
      <c r="AF51" s="80">
        <f>+AF$36*AD51</f>
        <v>0</v>
      </c>
    </row>
    <row r="52" spans="4:32" x14ac:dyDescent="0.35">
      <c r="U52" s="61" t="s">
        <v>26</v>
      </c>
      <c r="V52" s="81">
        <f t="shared" ref="V52:AC52" si="7">SUM(V39:V48)</f>
        <v>81</v>
      </c>
      <c r="W52" s="81">
        <f t="shared" si="7"/>
        <v>16</v>
      </c>
      <c r="X52" s="81">
        <f t="shared" si="7"/>
        <v>8</v>
      </c>
      <c r="Y52" s="81">
        <f t="shared" si="7"/>
        <v>8</v>
      </c>
      <c r="Z52" s="81">
        <f t="shared" si="7"/>
        <v>16</v>
      </c>
      <c r="AA52" s="81">
        <f t="shared" si="7"/>
        <v>16</v>
      </c>
      <c r="AB52" s="84">
        <f t="shared" si="7"/>
        <v>42.2</v>
      </c>
      <c r="AC52" s="84">
        <f t="shared" si="7"/>
        <v>105.5</v>
      </c>
      <c r="AD52" s="81"/>
      <c r="AE52" s="81"/>
      <c r="AF52" s="81">
        <f>SUM(AF39:AF48)</f>
        <v>34</v>
      </c>
    </row>
  </sheetData>
  <mergeCells count="1">
    <mergeCell ref="AD37:AF37"/>
  </mergeCells>
  <printOptions horizontalCentered="1"/>
  <pageMargins left="0.19685039370078741" right="0.31496062992125984" top="0.41" bottom="0.51181102362204722" header="0.27" footer="0.51181102362204722"/>
  <pageSetup paperSize="256" scale="97" firstPageNumber="4294963191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Z26"/>
  <sheetViews>
    <sheetView tabSelected="1" topLeftCell="A13" zoomScale="90" zoomScaleNormal="90" workbookViewId="0">
      <selection sqref="A1:I22"/>
    </sheetView>
  </sheetViews>
  <sheetFormatPr defaultColWidth="9.08984375" defaultRowHeight="12" x14ac:dyDescent="0.3"/>
  <cols>
    <col min="1" max="1" width="4.54296875" style="1" customWidth="1"/>
    <col min="2" max="2" width="20" style="1" customWidth="1"/>
    <col min="3" max="3" width="25" style="1" customWidth="1"/>
    <col min="4" max="4" width="10" style="53" customWidth="1"/>
    <col min="5" max="5" width="8.54296875" style="1" customWidth="1"/>
    <col min="6" max="6" width="11" style="1" customWidth="1"/>
    <col min="7" max="7" width="15" style="1" customWidth="1"/>
    <col min="8" max="8" width="17.54296875" style="1" customWidth="1"/>
    <col min="9" max="9" width="16.54296875" style="1" customWidth="1"/>
    <col min="10" max="10" width="12.90625" style="1" customWidth="1"/>
    <col min="11" max="11" width="17.453125" style="1" bestFit="1" customWidth="1"/>
    <col min="12" max="12" width="11.54296875" style="1" bestFit="1" customWidth="1"/>
    <col min="13" max="13" width="12.08984375" style="1" bestFit="1" customWidth="1"/>
    <col min="14" max="14" width="27.54296875" style="1" customWidth="1"/>
    <col min="15" max="15" width="3.453125" style="1" customWidth="1"/>
    <col min="16" max="16" width="15.54296875" style="1" bestFit="1" customWidth="1"/>
    <col min="17" max="16384" width="9.08984375" style="1"/>
  </cols>
  <sheetData>
    <row r="2" spans="1:14" ht="28.5" x14ac:dyDescent="0.65">
      <c r="A2" s="93" t="s">
        <v>25</v>
      </c>
      <c r="B2" s="93"/>
      <c r="C2" s="93"/>
      <c r="D2" s="93"/>
      <c r="E2" s="93"/>
      <c r="F2" s="93"/>
      <c r="G2" s="93"/>
      <c r="H2" s="93"/>
      <c r="I2" s="93"/>
    </row>
    <row r="3" spans="1:14" s="36" customFormat="1" ht="24.75" customHeight="1" x14ac:dyDescent="0.5">
      <c r="A3" s="31" t="s">
        <v>29</v>
      </c>
      <c r="C3" s="94" t="s">
        <v>94</v>
      </c>
      <c r="D3" s="94"/>
      <c r="E3" s="94"/>
      <c r="F3" s="94"/>
      <c r="G3" s="94"/>
      <c r="H3" s="94"/>
      <c r="I3" s="94"/>
    </row>
    <row r="4" spans="1:14" s="36" customFormat="1" ht="21" x14ac:dyDescent="0.5">
      <c r="A4" s="31" t="s">
        <v>23</v>
      </c>
      <c r="C4" s="95" t="s">
        <v>102</v>
      </c>
      <c r="D4" s="95"/>
      <c r="E4" s="95"/>
      <c r="F4" s="95"/>
      <c r="G4" s="95"/>
      <c r="H4" s="95"/>
      <c r="I4" s="95"/>
    </row>
    <row r="5" spans="1:14" ht="15.5" x14ac:dyDescent="0.35">
      <c r="A5" s="50"/>
      <c r="B5" s="50"/>
      <c r="C5" s="50"/>
      <c r="D5" s="50"/>
      <c r="E5" s="50"/>
      <c r="F5" s="50"/>
      <c r="G5" s="50"/>
      <c r="H5" s="50"/>
      <c r="I5" s="50"/>
    </row>
    <row r="6" spans="1:14" ht="15.5" x14ac:dyDescent="0.35">
      <c r="A6" s="96" t="s">
        <v>0</v>
      </c>
      <c r="B6" s="98" t="s">
        <v>1</v>
      </c>
      <c r="C6" s="99"/>
      <c r="D6" s="96" t="s">
        <v>2</v>
      </c>
      <c r="E6" s="96" t="s">
        <v>3</v>
      </c>
      <c r="F6" s="96" t="s">
        <v>4</v>
      </c>
      <c r="G6" s="8" t="s">
        <v>5</v>
      </c>
      <c r="H6" s="8" t="s">
        <v>6</v>
      </c>
      <c r="I6" s="8" t="s">
        <v>7</v>
      </c>
    </row>
    <row r="7" spans="1:14" ht="15.5" x14ac:dyDescent="0.35">
      <c r="A7" s="97"/>
      <c r="B7" s="100"/>
      <c r="C7" s="101"/>
      <c r="D7" s="97"/>
      <c r="E7" s="97"/>
      <c r="F7" s="97"/>
      <c r="G7" s="9" t="s">
        <v>8</v>
      </c>
      <c r="H7" s="9" t="s">
        <v>8</v>
      </c>
      <c r="I7" s="9" t="s">
        <v>8</v>
      </c>
    </row>
    <row r="8" spans="1:14" ht="15.5" x14ac:dyDescent="0.35">
      <c r="A8" s="8" t="s">
        <v>9</v>
      </c>
      <c r="B8" s="45" t="s">
        <v>18</v>
      </c>
      <c r="C8" s="43"/>
      <c r="D8" s="37"/>
      <c r="E8" s="10"/>
      <c r="F8" s="10"/>
      <c r="G8" s="10"/>
      <c r="H8" s="11"/>
      <c r="I8" s="12"/>
    </row>
    <row r="9" spans="1:14" s="42" customFormat="1" ht="74.400000000000006" customHeight="1" x14ac:dyDescent="0.35">
      <c r="A9" s="38">
        <v>1</v>
      </c>
      <c r="B9" s="102" t="s">
        <v>103</v>
      </c>
      <c r="C9" s="103"/>
      <c r="D9" s="39">
        <v>3</v>
      </c>
      <c r="E9" s="38" t="s">
        <v>17</v>
      </c>
      <c r="F9" s="38" t="s">
        <v>10</v>
      </c>
      <c r="G9" s="40">
        <v>4800000</v>
      </c>
      <c r="H9" s="40">
        <f>+G9*D9</f>
        <v>14400000</v>
      </c>
      <c r="I9" s="41"/>
      <c r="J9" s="42">
        <f>(255000*4)+(870000*2)</f>
        <v>2760000</v>
      </c>
      <c r="K9" s="42">
        <f>+H9-J9</f>
        <v>11640000</v>
      </c>
      <c r="M9" s="42">
        <f>280000/6</f>
        <v>46666.666666666664</v>
      </c>
      <c r="N9" s="42">
        <f>15*2.5</f>
        <v>37.5</v>
      </c>
    </row>
    <row r="10" spans="1:14" s="48" customFormat="1" ht="18.75" customHeight="1" x14ac:dyDescent="0.35">
      <c r="A10" s="38">
        <v>2</v>
      </c>
      <c r="B10" s="102" t="s">
        <v>96</v>
      </c>
      <c r="C10" s="103"/>
      <c r="D10" s="39">
        <v>3</v>
      </c>
      <c r="E10" s="38" t="s">
        <v>97</v>
      </c>
      <c r="F10" s="38" t="s">
        <v>10</v>
      </c>
      <c r="G10" s="46">
        <v>40000</v>
      </c>
      <c r="H10" s="46">
        <f>+G10*D10</f>
        <v>120000</v>
      </c>
      <c r="I10" s="47"/>
      <c r="J10" s="48">
        <f>95000*4</f>
        <v>380000</v>
      </c>
      <c r="K10" s="42">
        <f>+H10-J10</f>
        <v>-260000</v>
      </c>
    </row>
    <row r="11" spans="1:14" ht="15.5" x14ac:dyDescent="0.35">
      <c r="A11" s="24"/>
      <c r="B11" s="27"/>
      <c r="C11" s="44"/>
      <c r="D11" s="15"/>
      <c r="E11" s="13"/>
      <c r="F11" s="13"/>
      <c r="G11" s="14"/>
      <c r="H11" s="25"/>
      <c r="I11" s="26">
        <f>SUM(H9:H11)</f>
        <v>14520000</v>
      </c>
      <c r="K11" s="42">
        <f>SUM(K9:K10)</f>
        <v>11380000</v>
      </c>
    </row>
    <row r="12" spans="1:14" ht="15.5" x14ac:dyDescent="0.35">
      <c r="A12" s="16"/>
      <c r="B12" s="17" t="s">
        <v>22</v>
      </c>
      <c r="C12" s="17"/>
      <c r="D12" s="51"/>
      <c r="E12" s="17"/>
      <c r="F12" s="17"/>
      <c r="G12" s="18"/>
      <c r="H12" s="29" t="s">
        <v>11</v>
      </c>
      <c r="I12" s="11">
        <f>+I11</f>
        <v>14520000</v>
      </c>
    </row>
    <row r="13" spans="1:14" ht="15.5" x14ac:dyDescent="0.35">
      <c r="A13" s="19"/>
      <c r="B13" s="49" t="str">
        <f>P26</f>
        <v>Empat Belas  Juta Lima Ratus Dua Puluh  Ribu Rupiah</v>
      </c>
      <c r="C13" s="20"/>
      <c r="D13" s="52"/>
      <c r="E13" s="21"/>
      <c r="F13" s="21"/>
      <c r="G13" s="22"/>
      <c r="H13" s="30" t="s">
        <v>12</v>
      </c>
      <c r="I13" s="23">
        <f>ROUND(I12,-3)</f>
        <v>14520000</v>
      </c>
    </row>
    <row r="14" spans="1:14" ht="15.5" x14ac:dyDescent="0.35">
      <c r="A14" s="2"/>
      <c r="B14" s="2"/>
      <c r="C14" s="2"/>
      <c r="D14" s="28"/>
      <c r="E14" s="2"/>
      <c r="F14" s="2"/>
      <c r="G14" s="2"/>
      <c r="H14" s="2"/>
      <c r="I14" s="3"/>
    </row>
    <row r="15" spans="1:14" ht="15.5" x14ac:dyDescent="0.35">
      <c r="A15" s="2"/>
      <c r="B15" s="2"/>
      <c r="C15" s="2"/>
      <c r="D15" s="28"/>
      <c r="E15" s="2"/>
      <c r="F15" s="2"/>
      <c r="G15" s="2"/>
      <c r="H15" s="104" t="s">
        <v>104</v>
      </c>
      <c r="I15" s="104"/>
    </row>
    <row r="16" spans="1:14" ht="15.5" x14ac:dyDescent="0.35">
      <c r="A16" s="104" t="s">
        <v>16</v>
      </c>
      <c r="B16" s="104"/>
      <c r="C16" s="104"/>
      <c r="D16" s="104" t="s">
        <v>13</v>
      </c>
      <c r="E16" s="104"/>
      <c r="F16" s="104"/>
      <c r="G16" s="104"/>
      <c r="H16" s="104" t="s">
        <v>14</v>
      </c>
      <c r="I16" s="104"/>
    </row>
    <row r="17" spans="1:26" ht="15.5" x14ac:dyDescent="0.35">
      <c r="A17" s="2"/>
      <c r="B17" s="2"/>
      <c r="C17" s="2"/>
      <c r="D17" s="28"/>
      <c r="E17" s="2"/>
      <c r="F17" s="2"/>
      <c r="G17" s="2"/>
      <c r="H17" s="2"/>
      <c r="I17" s="2"/>
    </row>
    <row r="18" spans="1:26" ht="15.5" x14ac:dyDescent="0.35">
      <c r="A18" s="2"/>
      <c r="B18" s="2"/>
      <c r="C18" s="2"/>
      <c r="D18" s="28"/>
      <c r="E18" s="2"/>
      <c r="F18" s="2"/>
      <c r="G18" s="2"/>
      <c r="H18" s="2"/>
      <c r="I18" s="2"/>
      <c r="P18" s="86">
        <f>+I13</f>
        <v>14520000</v>
      </c>
      <c r="Q18" s="87">
        <v>1</v>
      </c>
      <c r="R18" s="87">
        <f>+Q18*10</f>
        <v>10</v>
      </c>
      <c r="S18" s="87">
        <f t="shared" ref="S18:Z18" si="0">+R18*10</f>
        <v>100</v>
      </c>
      <c r="T18" s="87">
        <f t="shared" si="0"/>
        <v>1000</v>
      </c>
      <c r="U18" s="87">
        <f t="shared" si="0"/>
        <v>10000</v>
      </c>
      <c r="V18" s="87">
        <f t="shared" si="0"/>
        <v>100000</v>
      </c>
      <c r="W18" s="87">
        <f t="shared" si="0"/>
        <v>1000000</v>
      </c>
      <c r="X18" s="87">
        <f t="shared" si="0"/>
        <v>10000000</v>
      </c>
      <c r="Y18" s="87">
        <f t="shared" si="0"/>
        <v>100000000</v>
      </c>
      <c r="Z18" s="87">
        <f t="shared" si="0"/>
        <v>1000000000</v>
      </c>
    </row>
    <row r="19" spans="1:26" ht="15.5" x14ac:dyDescent="0.35">
      <c r="A19" s="2"/>
      <c r="B19" s="2"/>
      <c r="C19" s="2"/>
      <c r="D19" s="28"/>
      <c r="E19" s="2"/>
      <c r="F19" s="2"/>
      <c r="G19" s="2"/>
      <c r="H19" s="2"/>
      <c r="I19" s="2"/>
      <c r="P19" s="88" t="s">
        <v>95</v>
      </c>
      <c r="Q19" s="87">
        <v>0</v>
      </c>
      <c r="R19" s="89">
        <f>MOD(P18,R18)</f>
        <v>0</v>
      </c>
      <c r="S19" s="89">
        <f>MOD(P18,S18)</f>
        <v>0</v>
      </c>
      <c r="T19" s="89">
        <f>MOD(P18,T18)</f>
        <v>0</v>
      </c>
      <c r="U19" s="89">
        <f>MOD(P18,U18)</f>
        <v>0</v>
      </c>
      <c r="V19" s="89">
        <f>MOD(P18,V18)</f>
        <v>20000</v>
      </c>
      <c r="W19" s="89">
        <f>MOD(P18,W18)</f>
        <v>520000</v>
      </c>
      <c r="X19" s="89">
        <f>MOD(P18,X18)</f>
        <v>4520000</v>
      </c>
      <c r="Y19" s="89">
        <f>MOD(P18,Y18)</f>
        <v>14520000</v>
      </c>
      <c r="Z19" s="89">
        <f>MOD(P18,Z18)</f>
        <v>14520000</v>
      </c>
    </row>
    <row r="20" spans="1:26" ht="15.5" x14ac:dyDescent="0.35">
      <c r="A20" s="105" t="s">
        <v>101</v>
      </c>
      <c r="B20" s="105"/>
      <c r="C20" s="105"/>
      <c r="D20" s="105" t="s">
        <v>99</v>
      </c>
      <c r="E20" s="105"/>
      <c r="F20" s="105"/>
      <c r="G20" s="105"/>
      <c r="H20" s="105" t="s">
        <v>100</v>
      </c>
      <c r="I20" s="105"/>
      <c r="P20" s="87"/>
      <c r="Q20" s="87"/>
      <c r="R20" s="87">
        <f t="shared" ref="R20:W20" si="1">+R19-Q19</f>
        <v>0</v>
      </c>
      <c r="S20" s="87">
        <f t="shared" si="1"/>
        <v>0</v>
      </c>
      <c r="T20" s="87">
        <f t="shared" si="1"/>
        <v>0</v>
      </c>
      <c r="U20" s="87">
        <f t="shared" si="1"/>
        <v>0</v>
      </c>
      <c r="V20" s="87">
        <f t="shared" si="1"/>
        <v>20000</v>
      </c>
      <c r="W20" s="87">
        <f t="shared" si="1"/>
        <v>500000</v>
      </c>
      <c r="X20" s="87">
        <f>+X19-W19</f>
        <v>4000000</v>
      </c>
      <c r="Y20" s="87">
        <f>+Y19-X19</f>
        <v>10000000</v>
      </c>
      <c r="Z20" s="87">
        <f>+Z19-Y19</f>
        <v>0</v>
      </c>
    </row>
    <row r="21" spans="1:26" ht="15.5" x14ac:dyDescent="0.35">
      <c r="A21" s="104" t="s">
        <v>28</v>
      </c>
      <c r="B21" s="104"/>
      <c r="C21" s="104"/>
      <c r="D21" s="104" t="s">
        <v>98</v>
      </c>
      <c r="E21" s="104"/>
      <c r="F21" s="104"/>
      <c r="G21" s="104"/>
      <c r="H21" s="104" t="s">
        <v>15</v>
      </c>
      <c r="I21" s="104"/>
      <c r="P21" s="87"/>
      <c r="Q21" s="87"/>
      <c r="R21" s="87">
        <f t="shared" ref="R21:W21" si="2">+R20*10/R18</f>
        <v>0</v>
      </c>
      <c r="S21" s="87">
        <f t="shared" si="2"/>
        <v>0</v>
      </c>
      <c r="T21" s="87">
        <f t="shared" si="2"/>
        <v>0</v>
      </c>
      <c r="U21" s="87">
        <f t="shared" si="2"/>
        <v>0</v>
      </c>
      <c r="V21" s="87">
        <f t="shared" si="2"/>
        <v>2</v>
      </c>
      <c r="W21" s="87">
        <f t="shared" si="2"/>
        <v>5</v>
      </c>
      <c r="X21" s="87">
        <f>+X20*10/X18</f>
        <v>4</v>
      </c>
      <c r="Y21" s="87">
        <f>+Y20*10/Y18</f>
        <v>1</v>
      </c>
      <c r="Z21" s="87">
        <f>+Z20*10/Z18</f>
        <v>0</v>
      </c>
    </row>
    <row r="22" spans="1:26" ht="14.5" x14ac:dyDescent="0.35">
      <c r="P22" s="87"/>
      <c r="Q22" s="87"/>
      <c r="R22" s="87" t="str">
        <f>IF(AND(R21&gt;0,S21&lt;&gt;1),CHOOSE(R21,"satu","dua","tiga","empat","lima","enam","tujuh","delapan","sembilan"),"")</f>
        <v/>
      </c>
      <c r="S22" s="87" t="str">
        <f>IF(S21&gt;0,CHOOSE(S21,CHOOSE(R21+1,"se","se","dua","tiga","empat","lima","enam","tujuh","delapan","sembilan"),"dua","tiga","empat","lima","enam","tujuh","delapan","sembilan"),"")</f>
        <v/>
      </c>
      <c r="T22" s="87" t="str">
        <f>IF(T21&gt;0,CHOOSE(T21,"se","dua","tiga","empat","lima","enam","tujuh","delapan","sembilan"),"")</f>
        <v/>
      </c>
      <c r="U22" s="87" t="str">
        <f>IF(AND(U21&gt;0,V21&lt;&gt;1),CHOOSE(U21,"satu","dua","tiga","empat","lima","enam","tujuh","delapan","sembilan"),"")</f>
        <v/>
      </c>
      <c r="V22" s="87" t="str">
        <f>IF(V21&gt;0,CHOOSE(V21,CHOOSE(U21+1,"se","se","dua","tiga","empat","lima","enam","tujuh","delapan","sembilan"),"dua","tiga","empat","lima","enam","tujuh","delapan","sembilan"),"")</f>
        <v>dua</v>
      </c>
      <c r="W22" s="87" t="str">
        <f>IF(W21&gt;0,CHOOSE(W21,"se","dua","tiga","empat","lima","enam","tujuh","delapan","sembilan"),"")</f>
        <v>lima</v>
      </c>
      <c r="X22" s="87" t="str">
        <f>IF(AND(X21&gt;0,Y21&lt;&gt;1),CHOOSE(X21,"satu","dua","tiga","empat","lima","enam","tujuh","delapan","sembilan"),"")</f>
        <v/>
      </c>
      <c r="Y22" s="87" t="str">
        <f>IF(Y21&gt;0,CHOOSE(Y21,CHOOSE(X21+1,"","se","dua","tiga","empat","lima","enam","tujuh","delapan","sembilan"),"dua","tiga","empat","lima","enam","tujuh","delapan","sembilan"),"")</f>
        <v>empat</v>
      </c>
      <c r="Z22" s="87" t="str">
        <f>IF(Z21&gt;0,CHOOSE(Z21,"se","dua","tiga","empat","lima","enam","tujuh","delapan","sembilan"),"")</f>
        <v/>
      </c>
    </row>
    <row r="23" spans="1:26" ht="14.5" x14ac:dyDescent="0.35">
      <c r="P23" s="87"/>
      <c r="Q23" s="87"/>
      <c r="R23" s="87"/>
      <c r="S23" s="87" t="str">
        <f>IF(S21&gt;0,IF(AND(S21=1,R21&gt;0)," belas "," puluh "),"")</f>
        <v/>
      </c>
      <c r="T23" s="87" t="str">
        <f>IF(T21&gt;0," ratus ","")</f>
        <v/>
      </c>
      <c r="U23" s="87" t="str">
        <f>IF(SUM(U21,W21)&gt;0," ribu ","")</f>
        <v xml:space="preserve"> ribu </v>
      </c>
      <c r="V23" s="87" t="str">
        <f>IF(V21&gt;0,IF(AND(V21=1,U21&gt;0)," belas "," puluh "),"")</f>
        <v xml:space="preserve"> puluh </v>
      </c>
      <c r="W23" s="87" t="str">
        <f>IF(W21&gt;0," ratus ","")</f>
        <v xml:space="preserve"> ratus </v>
      </c>
      <c r="X23" s="87" t="str">
        <f>IF(SUM(X21,Z21)&gt;0," juta ","")</f>
        <v xml:space="preserve"> juta </v>
      </c>
      <c r="Y23" s="87" t="str">
        <f>IF(Y21&gt;0,IF(AND(Y21=1,X21&gt;0)," belas "," puluh "),"")</f>
        <v xml:space="preserve"> belas </v>
      </c>
      <c r="Z23" s="87" t="str">
        <f>IF(Z21&gt;0," ratus ","")</f>
        <v/>
      </c>
    </row>
    <row r="24" spans="1:26" ht="14.5" x14ac:dyDescent="0.35">
      <c r="P24" s="87"/>
      <c r="Q24" s="87"/>
      <c r="R24" s="87" t="str">
        <f>CONCATENATE(R22,R17)</f>
        <v/>
      </c>
      <c r="S24" s="87" t="str">
        <f t="shared" ref="S24:Z24" si="3">CONCATENATE(S22,S23)</f>
        <v/>
      </c>
      <c r="T24" s="87" t="str">
        <f t="shared" si="3"/>
        <v/>
      </c>
      <c r="U24" s="87" t="str">
        <f t="shared" si="3"/>
        <v xml:space="preserve"> ribu </v>
      </c>
      <c r="V24" s="87" t="str">
        <f t="shared" si="3"/>
        <v xml:space="preserve">dua puluh </v>
      </c>
      <c r="W24" s="87" t="str">
        <f t="shared" si="3"/>
        <v xml:space="preserve">lima ratus </v>
      </c>
      <c r="X24" s="87" t="str">
        <f t="shared" si="3"/>
        <v xml:space="preserve"> juta </v>
      </c>
      <c r="Y24" s="87" t="str">
        <f t="shared" si="3"/>
        <v xml:space="preserve">empat belas </v>
      </c>
      <c r="Z24" s="87" t="str">
        <f t="shared" si="3"/>
        <v/>
      </c>
    </row>
    <row r="25" spans="1:26" ht="14.5" x14ac:dyDescent="0.35"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</row>
    <row r="26" spans="1:26" ht="14.5" x14ac:dyDescent="0.35">
      <c r="P26" s="88" t="str">
        <f>PROPER(CONCATENATE(Z24,Y24,X24,W24,V24,U24,T24,S24,R24,P19))</f>
        <v>Empat Belas  Juta Lima Ratus Dua Puluh  Ribu Rupiah</v>
      </c>
      <c r="Q26" s="87"/>
      <c r="R26" s="87"/>
      <c r="S26" s="87"/>
      <c r="T26" s="87"/>
      <c r="U26" s="87"/>
      <c r="V26" s="87"/>
      <c r="W26" s="87"/>
      <c r="X26" s="87"/>
      <c r="Y26" s="87"/>
      <c r="Z26" s="87"/>
    </row>
  </sheetData>
  <mergeCells count="20">
    <mergeCell ref="D20:G20"/>
    <mergeCell ref="H20:I20"/>
    <mergeCell ref="A21:C21"/>
    <mergeCell ref="D21:G21"/>
    <mergeCell ref="H21:I21"/>
    <mergeCell ref="A20:C20"/>
    <mergeCell ref="B9:C9"/>
    <mergeCell ref="B10:C10"/>
    <mergeCell ref="H15:I15"/>
    <mergeCell ref="A16:C16"/>
    <mergeCell ref="D16:G16"/>
    <mergeCell ref="H16:I16"/>
    <mergeCell ref="A2:I2"/>
    <mergeCell ref="C3:I3"/>
    <mergeCell ref="C4:I4"/>
    <mergeCell ref="A6:A7"/>
    <mergeCell ref="B6:C7"/>
    <mergeCell ref="D6:D7"/>
    <mergeCell ref="E6:E7"/>
    <mergeCell ref="F6:F7"/>
  </mergeCells>
  <printOptions horizontalCentered="1"/>
  <pageMargins left="0.43307086614173229" right="0.62992125984251968" top="0.82677165354330717" bottom="0.55118110236220474" header="1.7716535433070868" footer="0.74803149606299213"/>
  <pageSetup paperSize="256" scale="72" firstPageNumber="4294963191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82" workbookViewId="0">
      <selection activeCell="C40" sqref="C40"/>
    </sheetView>
  </sheetViews>
  <sheetFormatPr defaultRowHeight="14.5" x14ac:dyDescent="0.35"/>
  <sheetData/>
  <pageMargins left="0.43307086614173229" right="0.19685039370078741" top="0.31496062992125984" bottom="0.19685039370078741" header="0.19685039370078741" footer="0.11811023622047245"/>
  <pageSetup paperSize="9" scale="5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BreakDown Tangki</vt:lpstr>
      <vt:lpstr>rab 2018</vt:lpstr>
      <vt:lpstr>Alas Dasar</vt:lpstr>
      <vt:lpstr>'Alas Dasar'!Print_Area</vt:lpstr>
      <vt:lpstr>'BreakDown Tangki'!Print_Area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NXKDMSN0063320@outlook.com</cp:lastModifiedBy>
  <cp:revision/>
  <cp:lastPrinted>2024-08-01T04:07:45Z</cp:lastPrinted>
  <dcterms:created xsi:type="dcterms:W3CDTF">2012-03-21T04:38:16Z</dcterms:created>
  <dcterms:modified xsi:type="dcterms:W3CDTF">2024-08-01T04:09:05Z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