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10" windowHeight="10290"/>
  </bookViews>
  <sheets>
    <sheet name="rab 2024" sheetId="4" r:id="rId1"/>
    <sheet name="Sheet1" sheetId="1" r:id="rId2"/>
    <sheet name="Sheet2" sheetId="2" r:id="rId3"/>
    <sheet name="Sheet3" sheetId="3" r:id="rId4"/>
  </sheets>
  <definedNames>
    <definedName name="_xlnm.Print_Area" localSheetId="0">'rab 2024'!#REF!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9" i="4"/>
  <c r="S18"/>
  <c r="S17"/>
  <c r="AG19"/>
  <c r="AG18"/>
  <c r="AG14"/>
  <c r="AD17"/>
  <c r="AG8"/>
  <c r="AG9"/>
  <c r="AG10"/>
  <c r="AG11"/>
  <c r="AG12"/>
  <c r="AG13"/>
  <c r="AG7"/>
  <c r="AB14"/>
  <c r="AC13"/>
  <c r="AC12"/>
  <c r="AC11"/>
  <c r="AC10"/>
  <c r="AC9"/>
  <c r="AC8"/>
  <c r="AF14"/>
  <c r="AF17" s="1"/>
  <c r="AE14"/>
  <c r="AE17" s="1"/>
  <c r="AD14"/>
  <c r="AC7"/>
  <c r="AC14" s="1"/>
  <c r="AA14"/>
  <c r="AG17" l="1"/>
  <c r="AF15"/>
  <c r="H22" l="1"/>
  <c r="H21"/>
  <c r="I24" s="1"/>
  <c r="H18"/>
  <c r="H9"/>
  <c r="O28"/>
  <c r="P28" s="1"/>
  <c r="Q28" s="1"/>
  <c r="R28" s="1"/>
  <c r="S28" s="1"/>
  <c r="T28" s="1"/>
  <c r="U28" s="1"/>
  <c r="V28" s="1"/>
  <c r="W28" s="1"/>
  <c r="N25"/>
  <c r="H23"/>
  <c r="V14"/>
  <c r="D16" s="1"/>
  <c r="H16" s="1"/>
  <c r="S14"/>
  <c r="R14"/>
  <c r="Z13"/>
  <c r="Y13"/>
  <c r="Q13"/>
  <c r="X13" s="1"/>
  <c r="Z12"/>
  <c r="Y12"/>
  <c r="Q12"/>
  <c r="X12" s="1"/>
  <c r="Z11"/>
  <c r="Y11"/>
  <c r="Q11"/>
  <c r="X11" s="1"/>
  <c r="H17"/>
  <c r="Z10"/>
  <c r="Y10"/>
  <c r="Q10"/>
  <c r="X10" s="1"/>
  <c r="A10"/>
  <c r="A11" s="1"/>
  <c r="A12" s="1"/>
  <c r="A13" s="1"/>
  <c r="A14" s="1"/>
  <c r="A15" s="1"/>
  <c r="A16" s="1"/>
  <c r="A17" s="1"/>
  <c r="A18" s="1"/>
  <c r="Z9"/>
  <c r="Y9"/>
  <c r="Q9"/>
  <c r="X9" s="1"/>
  <c r="Z8"/>
  <c r="Y8"/>
  <c r="Q8"/>
  <c r="T8" s="1"/>
  <c r="M8"/>
  <c r="M9" s="1"/>
  <c r="M10" s="1"/>
  <c r="M11" s="1"/>
  <c r="M12" s="1"/>
  <c r="M13" s="1"/>
  <c r="Z7"/>
  <c r="Y7"/>
  <c r="Q7"/>
  <c r="Q14" s="1"/>
  <c r="S15" s="1"/>
  <c r="T11" l="1"/>
  <c r="W11" s="1"/>
  <c r="T10"/>
  <c r="W10" s="1"/>
  <c r="T12"/>
  <c r="W12" s="1"/>
  <c r="T13"/>
  <c r="W13" s="1"/>
  <c r="Z14"/>
  <c r="Y14"/>
  <c r="T9"/>
  <c r="W9" s="1"/>
  <c r="U8"/>
  <c r="W8"/>
  <c r="T7"/>
  <c r="X8"/>
  <c r="U10"/>
  <c r="H11"/>
  <c r="U11"/>
  <c r="U13"/>
  <c r="X7"/>
  <c r="D12"/>
  <c r="U12" l="1"/>
  <c r="U9"/>
  <c r="D14"/>
  <c r="H14" s="1"/>
  <c r="X14"/>
  <c r="Z15" s="1"/>
  <c r="D13"/>
  <c r="H12"/>
  <c r="U7"/>
  <c r="U14" s="1"/>
  <c r="D10" s="1"/>
  <c r="H10" s="1"/>
  <c r="W7"/>
  <c r="W14" s="1"/>
  <c r="T14"/>
  <c r="H15" l="1"/>
  <c r="H13"/>
  <c r="I19" s="1"/>
  <c r="I25" l="1"/>
  <c r="I27" s="1"/>
  <c r="I28" s="1"/>
  <c r="M28" s="1"/>
  <c r="U29" l="1"/>
  <c r="V30" s="1"/>
  <c r="V31" s="1"/>
  <c r="P29"/>
  <c r="P30" s="1"/>
  <c r="P31" s="1"/>
  <c r="P32" s="1"/>
  <c r="T29"/>
  <c r="T30" s="1"/>
  <c r="T31" s="1"/>
  <c r="T32" s="1"/>
  <c r="O29"/>
  <c r="O30" s="1"/>
  <c r="O31" s="1"/>
  <c r="S29"/>
  <c r="R29"/>
  <c r="V29"/>
  <c r="W29"/>
  <c r="Q29"/>
  <c r="R30" s="1"/>
  <c r="R31" s="1"/>
  <c r="W30"/>
  <c r="W31" s="1"/>
  <c r="W33" s="1"/>
  <c r="S30"/>
  <c r="S31" s="1"/>
  <c r="V32" l="1"/>
  <c r="V34" s="1"/>
  <c r="V33"/>
  <c r="U30"/>
  <c r="U31" s="1"/>
  <c r="U33" s="1"/>
  <c r="Q30"/>
  <c r="Q31" s="1"/>
  <c r="Q32" s="1"/>
  <c r="W32"/>
  <c r="W34" s="1"/>
  <c r="O32"/>
  <c r="O34" s="1"/>
  <c r="R33"/>
  <c r="Q33"/>
  <c r="Q34" s="1"/>
  <c r="P33"/>
  <c r="P34" s="1"/>
  <c r="T33"/>
  <c r="T34" s="1"/>
  <c r="S33"/>
  <c r="S32"/>
  <c r="R32"/>
  <c r="U32" l="1"/>
  <c r="U34" s="1"/>
  <c r="R34"/>
  <c r="S34"/>
  <c r="M36" l="1"/>
  <c r="B28" s="1"/>
</calcChain>
</file>

<file path=xl/sharedStrings.xml><?xml version="1.0" encoding="utf-8"?>
<sst xmlns="http://schemas.openxmlformats.org/spreadsheetml/2006/main" count="119" uniqueCount="91">
  <si>
    <t>RENCANA ANGGARAN BIAYA PEKERJAAN</t>
  </si>
  <si>
    <t>PENGECATAN PIPA INLET-OUTLET, ELEKTROMOTOR DAN POMPA Di LOKASI 7 BOOSTER</t>
  </si>
  <si>
    <t>BREAKDOWN</t>
  </si>
  <si>
    <t>LOKASI: BOOSTER PUMP MENARA, SIMALINGKAR, PADANG BULAN, MEDAN DENAI, SEI AGUL, RUMAH SUSUN DAN MABAR</t>
  </si>
  <si>
    <t>Luas Pipa</t>
  </si>
  <si>
    <t xml:space="preserve">Total </t>
  </si>
  <si>
    <t>Kuas</t>
  </si>
  <si>
    <t xml:space="preserve">Jumlah </t>
  </si>
  <si>
    <t>Tanda</t>
  </si>
  <si>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</si>
  <si>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</si>
  <si>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</si>
  <si>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</si>
  <si>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</si>
  <si>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</si>
  <si>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</si>
  <si>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</si>
  <si>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BOOSTER</t>
  </si>
  <si>
    <t>Pompa</t>
  </si>
  <si>
    <t>Size Factor</t>
  </si>
  <si>
    <t>P.F</t>
  </si>
  <si>
    <t>Inlet</t>
  </si>
  <si>
    <t>Outlet</t>
  </si>
  <si>
    <t>Area</t>
  </si>
  <si>
    <t>5"</t>
  </si>
  <si>
    <t>2"</t>
  </si>
  <si>
    <t>Hari</t>
  </si>
  <si>
    <t>Biru</t>
  </si>
  <si>
    <t>Hijau</t>
  </si>
  <si>
    <t>Hitam</t>
  </si>
  <si>
    <t>Terima</t>
  </si>
  <si>
    <t>( Rp )</t>
  </si>
  <si>
    <t>Menara</t>
  </si>
  <si>
    <t>I</t>
  </si>
  <si>
    <t>MATERIAL</t>
  </si>
  <si>
    <t>Simalingkar</t>
  </si>
  <si>
    <t xml:space="preserve">Cat kilat Bee Brand 1000
</t>
  </si>
  <si>
    <t>m2</t>
  </si>
  <si>
    <t>Padang Bulan</t>
  </si>
  <si>
    <t>Kuas 5"</t>
  </si>
  <si>
    <t>bh</t>
  </si>
  <si>
    <t>Hitung</t>
  </si>
  <si>
    <t>Medan Denai</t>
  </si>
  <si>
    <t>Kuas 2"</t>
  </si>
  <si>
    <t>Sei Agul</t>
  </si>
  <si>
    <t>Kertas Amplas no.400</t>
  </si>
  <si>
    <t>lbr</t>
  </si>
  <si>
    <t>Rumah Susun</t>
  </si>
  <si>
    <t>Sikat Besi</t>
  </si>
  <si>
    <t>Mabar</t>
  </si>
  <si>
    <t>Thinner Cobra</t>
  </si>
  <si>
    <t>ltr</t>
  </si>
  <si>
    <t>Ember hitam dia. 30 cm</t>
  </si>
  <si>
    <t>Kain Lap</t>
  </si>
  <si>
    <t xml:space="preserve">Skrap / Kape </t>
  </si>
  <si>
    <t>Mengikis/Mengorek Cat Lama</t>
  </si>
  <si>
    <t>Pipa</t>
  </si>
  <si>
    <t>Pelita Green</t>
  </si>
  <si>
    <t>II</t>
  </si>
  <si>
    <t>Biaya Pelaksanaan</t>
  </si>
  <si>
    <t xml:space="preserve">pompa </t>
  </si>
  <si>
    <t>river blue</t>
  </si>
  <si>
    <t>-</t>
  </si>
  <si>
    <t>Ls</t>
  </si>
  <si>
    <t>Dokumentasi</t>
  </si>
  <si>
    <t>Jumlah biaya pelaksanaan</t>
  </si>
  <si>
    <t xml:space="preserve">Terbilang : </t>
  </si>
  <si>
    <t>Grand Total</t>
  </si>
  <si>
    <t>Dibulatkan</t>
  </si>
  <si>
    <t>Rupiah</t>
  </si>
  <si>
    <t>Disyahkan oleh :</t>
  </si>
  <si>
    <t>Diketahui oleh :</t>
  </si>
  <si>
    <t>Dihitung oleh,</t>
  </si>
  <si>
    <t>Julfan Fadhli</t>
  </si>
  <si>
    <t>Kadiv. Perencanaan Air Minum</t>
  </si>
  <si>
    <t>Kabid. Operasional Pompa</t>
  </si>
  <si>
    <t>Plh. Kadiv. Transmisi Distribusi</t>
  </si>
  <si>
    <t>Ali Ismail Siregar</t>
  </si>
  <si>
    <t>Defran Aritonang</t>
  </si>
  <si>
    <t>Medan,     Agustus 2024</t>
  </si>
  <si>
    <t>Klg</t>
  </si>
  <si>
    <t>Tabel</t>
  </si>
  <si>
    <t>Tukang 1 orang</t>
  </si>
  <si>
    <t>Pekerja 2 orang</t>
  </si>
  <si>
    <t>1"</t>
  </si>
  <si>
    <t>Thinner</t>
  </si>
  <si>
    <t>3"</t>
  </si>
  <si>
    <t>luasan</t>
  </si>
  <si>
    <t>cat</t>
  </si>
  <si>
    <t>kg</t>
  </si>
  <si>
    <t>liter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</si>
</sst>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_);_(@_)"/>
    <numFmt numFmtId="166" formatCode="_(* #,##0_);_(* \(#,##0\);_(* &quot;-&quot;??_);_(@_)"/>
    <numFmt numFmtId="167" formatCode="0.0"/>
  </numFmts>
  <fonts count="1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22"/>
      <name val="Calibri"/>
      <family val="2"/>
    </font>
    <font>
      <b/>
      <sz val="26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12"/>
      <color indexed="8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5" fillId="0" borderId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06">
    <xf numFmtId="0" fontId="0" fillId="0" borderId="0" xfId="0"/>
    <xf numFmtId="165" fontId="14" fillId="2" borderId="0" xfId="1" applyFont="1" applyFill="1"/>
    <xf numFmtId="0" fontId="1" fillId="2" borderId="0" xfId="2" applyFill="1"/>
    <xf numFmtId="0" fontId="14" fillId="2" borderId="0" xfId="2" applyFont="1" applyFill="1"/>
    <xf numFmtId="165" fontId="1" fillId="2" borderId="0" xfId="2" applyNumberFormat="1" applyFill="1"/>
    <xf numFmtId="164" fontId="5" fillId="0" borderId="0" xfId="4" applyNumberFormat="1" applyFont="1"/>
    <xf numFmtId="0" fontId="2" fillId="0" borderId="0" xfId="3" applyFont="1"/>
    <xf numFmtId="0" fontId="7" fillId="0" borderId="0" xfId="3" applyFont="1"/>
    <xf numFmtId="0" fontId="8" fillId="0" borderId="0" xfId="3" applyFont="1" applyAlignment="1">
      <alignment horizontal="center"/>
    </xf>
    <xf numFmtId="165" fontId="6" fillId="0" borderId="0" xfId="5" applyFont="1"/>
    <xf numFmtId="165" fontId="5" fillId="0" borderId="0" xfId="5" applyFont="1"/>
    <xf numFmtId="0" fontId="8" fillId="0" borderId="2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10" fillId="0" borderId="3" xfId="3" applyFont="1" applyBorder="1"/>
    <xf numFmtId="0" fontId="10" fillId="0" borderId="4" xfId="3" applyFont="1" applyBorder="1"/>
    <xf numFmtId="164" fontId="11" fillId="0" borderId="2" xfId="4" applyNumberFormat="1" applyFont="1" applyBorder="1" applyAlignment="1">
      <alignment horizontal="center"/>
    </xf>
    <xf numFmtId="0" fontId="11" fillId="0" borderId="2" xfId="3" applyFont="1" applyBorder="1"/>
    <xf numFmtId="164" fontId="8" fillId="0" borderId="2" xfId="3" applyNumberFormat="1" applyFont="1" applyBorder="1"/>
    <xf numFmtId="164" fontId="11" fillId="0" borderId="2" xfId="3" applyNumberFormat="1" applyFont="1" applyBorder="1"/>
    <xf numFmtId="0" fontId="11" fillId="0" borderId="8" xfId="3" applyFont="1" applyBorder="1" applyAlignment="1">
      <alignment horizontal="center"/>
    </xf>
    <xf numFmtId="0" fontId="11" fillId="0" borderId="9" xfId="3" applyFont="1" applyBorder="1"/>
    <xf numFmtId="0" fontId="11" fillId="0" borderId="10" xfId="3" applyFont="1" applyBorder="1"/>
    <xf numFmtId="167" fontId="11" fillId="0" borderId="8" xfId="4" applyFont="1" applyBorder="1" applyAlignment="1">
      <alignment horizontal="center"/>
    </xf>
    <xf numFmtId="43" fontId="11" fillId="0" borderId="8" xfId="4" applyNumberFormat="1" applyFont="1" applyBorder="1" applyAlignment="1">
      <alignment horizontal="center"/>
    </xf>
    <xf numFmtId="164" fontId="11" fillId="0" borderId="8" xfId="3" applyNumberFormat="1" applyFont="1" applyBorder="1"/>
    <xf numFmtId="164" fontId="11" fillId="0" borderId="8" xfId="4" applyNumberFormat="1" applyFont="1" applyBorder="1"/>
    <xf numFmtId="164" fontId="8" fillId="0" borderId="8" xfId="4" applyNumberFormat="1" applyFont="1" applyBorder="1"/>
    <xf numFmtId="0" fontId="11" fillId="0" borderId="5" xfId="3" applyFont="1" applyBorder="1"/>
    <xf numFmtId="164" fontId="11" fillId="0" borderId="8" xfId="4" applyNumberFormat="1" applyFont="1" applyBorder="1" applyAlignment="1">
      <alignment horizontal="center"/>
    </xf>
    <xf numFmtId="164" fontId="11" fillId="0" borderId="5" xfId="4" applyNumberFormat="1" applyFont="1" applyBorder="1"/>
    <xf numFmtId="164" fontId="8" fillId="0" borderId="5" xfId="4" applyNumberFormat="1" applyFont="1" applyBorder="1"/>
    <xf numFmtId="0" fontId="8" fillId="0" borderId="8" xfId="3" applyFont="1" applyBorder="1" applyAlignment="1">
      <alignment horizontal="center"/>
    </xf>
    <xf numFmtId="0" fontId="11" fillId="0" borderId="2" xfId="3" applyFont="1" applyBorder="1" applyAlignment="1">
      <alignment horizontal="center"/>
    </xf>
    <xf numFmtId="164" fontId="11" fillId="0" borderId="2" xfId="4" applyNumberFormat="1" applyFont="1" applyBorder="1"/>
    <xf numFmtId="0" fontId="11" fillId="0" borderId="8" xfId="3" applyFont="1" applyBorder="1" applyAlignment="1">
      <alignment horizontal="right"/>
    </xf>
    <xf numFmtId="43" fontId="11" fillId="0" borderId="8" xfId="4" applyNumberFormat="1" applyFont="1" applyBorder="1" applyAlignment="1">
      <alignment horizontal="right"/>
    </xf>
    <xf numFmtId="0" fontId="11" fillId="0" borderId="6" xfId="3" applyFont="1" applyBorder="1"/>
    <xf numFmtId="164" fontId="8" fillId="0" borderId="5" xfId="3" applyNumberFormat="1" applyFont="1" applyBorder="1"/>
    <xf numFmtId="0" fontId="11" fillId="0" borderId="3" xfId="3" applyFont="1" applyBorder="1" applyAlignment="1">
      <alignment horizontal="right"/>
    </xf>
    <xf numFmtId="0" fontId="11" fillId="0" borderId="11" xfId="3" applyFont="1" applyBorder="1"/>
    <xf numFmtId="43" fontId="11" fillId="0" borderId="11" xfId="4" applyNumberFormat="1" applyFont="1" applyBorder="1" applyAlignment="1">
      <alignment horizontal="center"/>
    </xf>
    <xf numFmtId="164" fontId="11" fillId="0" borderId="11" xfId="4" applyNumberFormat="1" applyFont="1" applyBorder="1" applyAlignment="1">
      <alignment horizontal="left"/>
    </xf>
    <xf numFmtId="164" fontId="11" fillId="0" borderId="11" xfId="4" applyNumberFormat="1" applyFont="1" applyBorder="1" applyAlignment="1">
      <alignment horizontal="right"/>
    </xf>
    <xf numFmtId="43" fontId="8" fillId="0" borderId="2" xfId="4" applyNumberFormat="1" applyFont="1" applyBorder="1" applyAlignment="1">
      <alignment horizontal="right"/>
    </xf>
    <xf numFmtId="164" fontId="8" fillId="0" borderId="8" xfId="3" applyNumberFormat="1" applyFont="1" applyBorder="1"/>
    <xf numFmtId="0" fontId="11" fillId="0" borderId="0" xfId="3" applyFont="1" applyAlignment="1">
      <alignment horizontal="center"/>
    </xf>
    <xf numFmtId="0" fontId="11" fillId="0" borderId="12" xfId="3" applyFont="1" applyBorder="1"/>
    <xf numFmtId="164" fontId="11" fillId="0" borderId="12" xfId="4" applyNumberFormat="1" applyFont="1" applyBorder="1" applyAlignment="1">
      <alignment horizontal="center"/>
    </xf>
    <xf numFmtId="0" fontId="11" fillId="0" borderId="12" xfId="3" applyFont="1" applyBorder="1" applyAlignment="1">
      <alignment horizontal="center"/>
    </xf>
    <xf numFmtId="164" fontId="11" fillId="0" borderId="12" xfId="4" applyNumberFormat="1" applyFont="1" applyBorder="1" applyAlignment="1">
      <alignment horizontal="right"/>
    </xf>
    <xf numFmtId="164" fontId="6" fillId="0" borderId="5" xfId="3" applyNumberFormat="1" applyFont="1" applyBorder="1"/>
    <xf numFmtId="164" fontId="12" fillId="0" borderId="3" xfId="4" applyNumberFormat="1" applyFont="1" applyBorder="1" applyAlignment="1">
      <alignment vertical="center"/>
    </xf>
    <xf numFmtId="164" fontId="12" fillId="0" borderId="11" xfId="4" applyNumberFormat="1" applyFont="1" applyBorder="1" applyAlignment="1">
      <alignment vertical="center"/>
    </xf>
    <xf numFmtId="164" fontId="12" fillId="0" borderId="11" xfId="4" applyNumberFormat="1" applyFont="1" applyBorder="1" applyAlignment="1">
      <alignment horizontal="center" vertical="center"/>
    </xf>
    <xf numFmtId="164" fontId="12" fillId="0" borderId="4" xfId="4" applyNumberFormat="1" applyFont="1" applyBorder="1" applyAlignment="1">
      <alignment vertical="center"/>
    </xf>
    <xf numFmtId="0" fontId="8" fillId="0" borderId="2" xfId="3" applyFont="1" applyBorder="1"/>
    <xf numFmtId="164" fontId="12" fillId="0" borderId="6" xfId="4" applyNumberFormat="1" applyFont="1" applyBorder="1" applyAlignment="1">
      <alignment vertical="center"/>
    </xf>
    <xf numFmtId="164" fontId="13" fillId="0" borderId="12" xfId="4" applyNumberFormat="1" applyFont="1" applyBorder="1" applyAlignment="1">
      <alignment horizontal="center" vertical="center"/>
    </xf>
    <xf numFmtId="164" fontId="12" fillId="0" borderId="12" xfId="4" applyNumberFormat="1" applyFont="1" applyBorder="1" applyAlignment="1">
      <alignment horizontal="center" vertical="center"/>
    </xf>
    <xf numFmtId="164" fontId="12" fillId="0" borderId="12" xfId="4" applyNumberFormat="1" applyFont="1" applyBorder="1" applyAlignment="1">
      <alignment vertical="center"/>
    </xf>
    <xf numFmtId="164" fontId="12" fillId="0" borderId="7" xfId="4" applyNumberFormat="1" applyFont="1" applyBorder="1" applyAlignment="1">
      <alignment vertical="center"/>
    </xf>
    <xf numFmtId="0" fontId="8" fillId="0" borderId="5" xfId="3" applyFont="1" applyBorder="1"/>
    <xf numFmtId="0" fontId="11" fillId="0" borderId="0" xfId="3" applyFont="1"/>
    <xf numFmtId="164" fontId="8" fillId="0" borderId="0" xfId="3" applyNumberFormat="1" applyFont="1"/>
    <xf numFmtId="164" fontId="6" fillId="0" borderId="0" xfId="4" applyNumberFormat="1" applyFont="1"/>
    <xf numFmtId="164" fontId="6" fillId="0" borderId="0" xfId="4" applyNumberFormat="1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11" fillId="0" borderId="8" xfId="3" applyFont="1" applyBorder="1" applyAlignment="1">
      <alignment horizontal="center" vertical="top"/>
    </xf>
    <xf numFmtId="167" fontId="11" fillId="0" borderId="8" xfId="4" applyFont="1" applyBorder="1" applyAlignment="1">
      <alignment horizontal="center" vertical="top"/>
    </xf>
    <xf numFmtId="43" fontId="11" fillId="0" borderId="8" xfId="4" applyNumberFormat="1" applyFont="1" applyBorder="1" applyAlignment="1">
      <alignment horizontal="center" vertical="top"/>
    </xf>
    <xf numFmtId="164" fontId="11" fillId="0" borderId="8" xfId="3" applyNumberFormat="1" applyFont="1" applyBorder="1" applyAlignment="1">
      <alignment vertical="top"/>
    </xf>
    <xf numFmtId="164" fontId="5" fillId="0" borderId="0" xfId="4" applyNumberFormat="1" applyFont="1" applyAlignment="1">
      <alignment vertical="top"/>
    </xf>
    <xf numFmtId="164" fontId="6" fillId="0" borderId="0" xfId="4" applyNumberFormat="1" applyFont="1" applyAlignment="1">
      <alignment vertical="top"/>
    </xf>
    <xf numFmtId="164" fontId="13" fillId="0" borderId="12" xfId="4" applyNumberFormat="1" applyFont="1" applyBorder="1" applyAlignment="1">
      <alignment horizontal="left" vertical="center"/>
    </xf>
    <xf numFmtId="165" fontId="6" fillId="0" borderId="1" xfId="5" applyFont="1" applyBorder="1"/>
    <xf numFmtId="164" fontId="6" fillId="0" borderId="1" xfId="4" applyNumberFormat="1" applyFont="1" applyBorder="1"/>
    <xf numFmtId="164" fontId="6" fillId="0" borderId="1" xfId="4" applyNumberFormat="1" applyFont="1" applyBorder="1" applyAlignment="1">
      <alignment horizontal="center"/>
    </xf>
    <xf numFmtId="164" fontId="5" fillId="0" borderId="1" xfId="4" applyNumberFormat="1" applyFont="1" applyBorder="1"/>
    <xf numFmtId="164" fontId="9" fillId="0" borderId="1" xfId="4" applyNumberFormat="1" applyFont="1" applyBorder="1"/>
    <xf numFmtId="165" fontId="9" fillId="0" borderId="1" xfId="5" applyFont="1" applyBorder="1"/>
    <xf numFmtId="164" fontId="9" fillId="0" borderId="1" xfId="4" applyNumberFormat="1" applyFont="1" applyBorder="1" applyAlignment="1">
      <alignment horizontal="center"/>
    </xf>
    <xf numFmtId="166" fontId="6" fillId="0" borderId="1" xfId="4" applyNumberFormat="1" applyFont="1" applyBorder="1"/>
    <xf numFmtId="164" fontId="5" fillId="0" borderId="1" xfId="4" applyNumberFormat="1" applyFont="1" applyBorder="1" applyAlignment="1">
      <alignment vertical="top"/>
    </xf>
    <xf numFmtId="164" fontId="6" fillId="0" borderId="1" xfId="4" applyNumberFormat="1" applyFont="1" applyBorder="1" applyAlignment="1">
      <alignment vertical="top"/>
    </xf>
    <xf numFmtId="165" fontId="6" fillId="0" borderId="1" xfId="5" applyFont="1" applyBorder="1" applyAlignment="1">
      <alignment vertical="top"/>
    </xf>
    <xf numFmtId="164" fontId="6" fillId="0" borderId="1" xfId="4" applyNumberFormat="1" applyFont="1" applyBorder="1" applyAlignment="1">
      <alignment horizontal="center" vertical="top"/>
    </xf>
    <xf numFmtId="166" fontId="9" fillId="0" borderId="1" xfId="4" applyNumberFormat="1" applyFont="1" applyBorder="1"/>
    <xf numFmtId="164" fontId="9" fillId="0" borderId="0" xfId="4" applyNumberFormat="1" applyFont="1"/>
    <xf numFmtId="0" fontId="10" fillId="0" borderId="0" xfId="3" applyFont="1"/>
    <xf numFmtId="165" fontId="6" fillId="0" borderId="1" xfId="5" applyFont="1" applyBorder="1" applyAlignment="1">
      <alignment horizontal="center"/>
    </xf>
    <xf numFmtId="164" fontId="6" fillId="0" borderId="1" xfId="4" applyNumberFormat="1" applyFont="1" applyBorder="1" applyAlignment="1">
      <alignment horizontal="center"/>
    </xf>
    <xf numFmtId="165" fontId="6" fillId="2" borderId="1" xfId="5" applyFont="1" applyFill="1" applyBorder="1" applyAlignment="1">
      <alignment horizontal="center"/>
    </xf>
    <xf numFmtId="0" fontId="3" fillId="0" borderId="0" xfId="3" applyFont="1" applyAlignment="1">
      <alignment horizontal="center"/>
    </xf>
    <xf numFmtId="0" fontId="7" fillId="0" borderId="0" xfId="3" applyFont="1" applyAlignment="1">
      <alignment horizontal="center" vertical="center" wrapText="1"/>
    </xf>
    <xf numFmtId="0" fontId="8" fillId="0" borderId="0" xfId="3" applyFont="1" applyAlignment="1">
      <alignment horizontal="center"/>
    </xf>
    <xf numFmtId="164" fontId="6" fillId="0" borderId="1" xfId="4" applyNumberFormat="1" applyFont="1" applyBorder="1" applyAlignment="1">
      <alignment horizontal="center"/>
    </xf>
    <xf numFmtId="0" fontId="8" fillId="0" borderId="2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11" fillId="0" borderId="9" xfId="3" applyFont="1" applyBorder="1" applyAlignment="1">
      <alignment horizontal="left" vertical="top" wrapText="1"/>
    </xf>
    <xf numFmtId="0" fontId="11" fillId="0" borderId="10" xfId="3" applyFont="1" applyBorder="1" applyAlignment="1">
      <alignment horizontal="left" vertical="top" wrapText="1"/>
    </xf>
    <xf numFmtId="0" fontId="11" fillId="0" borderId="0" xfId="3" applyFont="1" applyAlignment="1">
      <alignment horizontal="center"/>
    </xf>
    <xf numFmtId="0" fontId="10" fillId="0" borderId="0" xfId="3" applyFont="1" applyAlignment="1">
      <alignment horizontal="center"/>
    </xf>
  </cellXfs>
  <cellStyles count="6">
    <cellStyle name="Comma [0] 2" xfId="1"/>
    <cellStyle name="Comma [0] 3" xfId="5"/>
    <cellStyle name="Comma 2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4825</xdr:row>
      <xdr:rowOff>9525</xdr:rowOff>
    </xdr:from>
    <xdr:to>
      <xdr:col>1</xdr:col>
      <xdr:colOff>603595</xdr:colOff>
      <xdr:row>4825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204960125"/>
          <a:ext cx="858865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4914</xdr:row>
      <xdr:rowOff>161925</xdr:rowOff>
    </xdr:from>
    <xdr:to>
      <xdr:col>1</xdr:col>
      <xdr:colOff>551398</xdr:colOff>
      <xdr:row>4914</xdr:row>
      <xdr:rowOff>191182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222745205"/>
          <a:ext cx="835243" cy="2925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4969</xdr:row>
      <xdr:rowOff>0</xdr:rowOff>
    </xdr:from>
    <xdr:to>
      <xdr:col>1</xdr:col>
      <xdr:colOff>643854</xdr:colOff>
      <xdr:row>4969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1233479880"/>
          <a:ext cx="870549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4771</xdr:row>
      <xdr:rowOff>9525</xdr:rowOff>
    </xdr:from>
    <xdr:to>
      <xdr:col>1</xdr:col>
      <xdr:colOff>603595</xdr:colOff>
      <xdr:row>4771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94261645"/>
          <a:ext cx="858865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4731</xdr:row>
      <xdr:rowOff>9525</xdr:rowOff>
    </xdr:from>
    <xdr:to>
      <xdr:col>1</xdr:col>
      <xdr:colOff>603595</xdr:colOff>
      <xdr:row>4731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86336845"/>
          <a:ext cx="858865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5010</xdr:row>
      <xdr:rowOff>0</xdr:rowOff>
    </xdr:from>
    <xdr:to>
      <xdr:col>1</xdr:col>
      <xdr:colOff>484723</xdr:colOff>
      <xdr:row>5010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1241602800"/>
          <a:ext cx="768568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518</xdr:row>
      <xdr:rowOff>180975</xdr:rowOff>
    </xdr:from>
    <xdr:to>
      <xdr:col>1</xdr:col>
      <xdr:colOff>4476750</xdr:colOff>
      <xdr:row>521</xdr:row>
      <xdr:rowOff>190500</xdr:rowOff>
    </xdr:to>
    <xdr:pic>
      <xdr:nvPicPr>
        <xdr:cNvPr id="8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51828735"/>
          <a:ext cx="1480185" cy="603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554</xdr:row>
      <xdr:rowOff>180975</xdr:rowOff>
    </xdr:from>
    <xdr:to>
      <xdr:col>1</xdr:col>
      <xdr:colOff>4476750</xdr:colOff>
      <xdr:row>557</xdr:row>
      <xdr:rowOff>190500</xdr:rowOff>
    </xdr:to>
    <xdr:pic>
      <xdr:nvPicPr>
        <xdr:cNvPr id="9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58961055"/>
          <a:ext cx="1480185" cy="603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626</xdr:row>
      <xdr:rowOff>180975</xdr:rowOff>
    </xdr:from>
    <xdr:to>
      <xdr:col>1</xdr:col>
      <xdr:colOff>4476750</xdr:colOff>
      <xdr:row>629</xdr:row>
      <xdr:rowOff>190500</xdr:rowOff>
    </xdr:to>
    <xdr:pic>
      <xdr:nvPicPr>
        <xdr:cNvPr id="10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3225695"/>
          <a:ext cx="1480185" cy="603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590</xdr:row>
      <xdr:rowOff>180975</xdr:rowOff>
    </xdr:from>
    <xdr:to>
      <xdr:col>1</xdr:col>
      <xdr:colOff>4476750</xdr:colOff>
      <xdr:row>593</xdr:row>
      <xdr:rowOff>190500</xdr:rowOff>
    </xdr:to>
    <xdr:pic>
      <xdr:nvPicPr>
        <xdr:cNvPr id="11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66093375"/>
          <a:ext cx="1480185" cy="603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665</xdr:row>
      <xdr:rowOff>72118</xdr:rowOff>
    </xdr:from>
    <xdr:to>
      <xdr:col>1</xdr:col>
      <xdr:colOff>3333751</xdr:colOff>
      <xdr:row>666</xdr:row>
      <xdr:rowOff>140975</xdr:rowOff>
    </xdr:to>
    <xdr:pic>
      <xdr:nvPicPr>
        <xdr:cNvPr id="12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98839" y="380843518"/>
          <a:ext cx="1181372" cy="2669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H36"/>
  <sheetViews>
    <sheetView tabSelected="1" zoomScale="90" zoomScaleNormal="90" workbookViewId="0">
      <selection activeCell="M8" sqref="M8"/>
    </sheetView>
  </sheetViews>
  <sheetFormatPr defaultColWidth="9.140625" defaultRowHeight="15.75"/>
  <cols>
    <col min="1" max="1" width="4.5703125" style="5" customWidth="1"/>
    <col min="2" max="2" width="20" style="5" customWidth="1"/>
    <col min="3" max="3" width="19.5703125" style="5" customWidth="1"/>
    <col min="4" max="4" width="10.140625" style="66" customWidth="1"/>
    <col min="5" max="5" width="9.42578125" style="5" customWidth="1"/>
    <col min="6" max="6" width="11" style="5" customWidth="1"/>
    <col min="7" max="7" width="17.85546875" style="5" customWidth="1"/>
    <col min="8" max="8" width="16.7109375" style="5" customWidth="1"/>
    <col min="9" max="9" width="16.5703125" style="5" customWidth="1"/>
    <col min="10" max="10" width="12.85546875" style="5" customWidth="1"/>
    <col min="11" max="11" width="22.28515625" style="5" customWidth="1"/>
    <col min="12" max="12" width="11.7109375" style="5" bestFit="1" customWidth="1"/>
    <col min="13" max="13" width="8.85546875" style="9" customWidth="1"/>
    <col min="14" max="14" width="19.5703125" style="5" customWidth="1"/>
    <col min="15" max="15" width="9" style="10" customWidth="1"/>
    <col min="16" max="16" width="12" style="5" customWidth="1"/>
    <col min="17" max="17" width="11.85546875" style="5" customWidth="1"/>
    <col min="18" max="19" width="10" style="66" customWidth="1"/>
    <col min="20" max="20" width="9.28515625" style="5" customWidth="1"/>
    <col min="21" max="21" width="11.5703125" style="5" customWidth="1"/>
    <col min="22" max="22" width="9.28515625" style="5" customWidth="1"/>
    <col min="23" max="25" width="9.140625" style="64" customWidth="1"/>
    <col min="26" max="26" width="9.28515625" style="64" customWidth="1"/>
    <col min="27" max="31" width="9.140625" style="5"/>
    <col min="32" max="32" width="11.140625" style="5" bestFit="1" customWidth="1"/>
    <col min="33" max="33" width="9.7109375" style="5" bestFit="1" customWidth="1"/>
    <col min="34" max="37" width="9.140625" style="5"/>
    <col min="38" max="38" width="12" style="5" bestFit="1" customWidth="1"/>
    <col min="39" max="16384" width="9.140625" style="5"/>
  </cols>
  <sheetData>
    <row r="2" spans="1:34" ht="33.75">
      <c r="A2" s="6"/>
      <c r="B2" s="92" t="s">
        <v>0</v>
      </c>
      <c r="C2" s="92"/>
      <c r="D2" s="92"/>
      <c r="E2" s="92"/>
      <c r="F2" s="92"/>
      <c r="G2" s="92"/>
      <c r="H2" s="92"/>
      <c r="I2" s="92"/>
    </row>
    <row r="3" spans="1:34" ht="24.75" customHeight="1">
      <c r="A3" s="6"/>
      <c r="B3" s="93" t="s">
        <v>1</v>
      </c>
      <c r="C3" s="93"/>
      <c r="D3" s="93"/>
      <c r="E3" s="93"/>
      <c r="F3" s="93"/>
      <c r="G3" s="93"/>
      <c r="H3" s="93"/>
      <c r="I3" s="93"/>
      <c r="N3" s="87" t="s">
        <v>2</v>
      </c>
    </row>
    <row r="4" spans="1:34" ht="21">
      <c r="A4" s="7"/>
      <c r="B4" s="94" t="s">
        <v>3</v>
      </c>
      <c r="C4" s="94"/>
      <c r="D4" s="94"/>
      <c r="E4" s="94"/>
      <c r="F4" s="94"/>
      <c r="G4" s="94"/>
      <c r="H4" s="94"/>
      <c r="I4" s="94"/>
    </row>
    <row r="5" spans="1:34">
      <c r="A5" s="8"/>
      <c r="B5" s="8"/>
      <c r="C5" s="8"/>
      <c r="D5" s="8"/>
      <c r="E5" s="8"/>
      <c r="F5" s="8"/>
      <c r="G5" s="8"/>
      <c r="H5" s="8"/>
      <c r="I5" s="8"/>
      <c r="M5" s="74"/>
      <c r="N5" s="75"/>
      <c r="O5" s="74"/>
      <c r="P5" s="75"/>
      <c r="Q5" s="75"/>
      <c r="R5" s="95" t="s">
        <v>4</v>
      </c>
      <c r="S5" s="95"/>
      <c r="T5" s="76" t="s">
        <v>5</v>
      </c>
      <c r="U5" s="76" t="s">
        <v>6</v>
      </c>
      <c r="V5" s="76" t="s">
        <v>6</v>
      </c>
      <c r="W5" s="75" t="s">
        <v>7</v>
      </c>
      <c r="X5" s="75">
        <v>2</v>
      </c>
      <c r="Y5" s="75">
        <v>1</v>
      </c>
      <c r="Z5" s="75">
        <v>2</v>
      </c>
      <c r="AA5" s="90" t="s">
        <v>6</v>
      </c>
      <c r="AB5" s="90" t="s">
        <v>6</v>
      </c>
      <c r="AC5" s="75" t="s">
        <v>7</v>
      </c>
      <c r="AD5" s="75">
        <v>2</v>
      </c>
      <c r="AE5" s="75">
        <v>1</v>
      </c>
      <c r="AF5" s="75">
        <v>2</v>
      </c>
      <c r="AG5" s="75">
        <v>2</v>
      </c>
      <c r="AH5" s="76" t="s">
        <v>8</v>
      </c>
    </row>
    <row r="6" spans="1:34">
      <c r="A6" s="96" t="s">
        <v>9</v>
      </c>
      <c r="B6" s="98" t="s">
        <v>10</v>
      </c>
      <c r="C6" s="99"/>
      <c r="D6" s="96" t="s">
        <v>11</v>
      </c>
      <c r="E6" s="96" t="s">
        <v>12</v>
      </c>
      <c r="F6" s="96" t="s">
        <v>13</v>
      </c>
      <c r="G6" s="11" t="s">
        <v>14</v>
      </c>
      <c r="H6" s="11" t="s">
        <v>15</v>
      </c>
      <c r="I6" s="11" t="s">
        <v>16</v>
      </c>
      <c r="M6" s="74"/>
      <c r="N6" s="78" t="s">
        <v>17</v>
      </c>
      <c r="O6" s="79" t="s">
        <v>18</v>
      </c>
      <c r="P6" s="78" t="s">
        <v>19</v>
      </c>
      <c r="Q6" s="78" t="s">
        <v>20</v>
      </c>
      <c r="R6" s="80" t="s">
        <v>21</v>
      </c>
      <c r="S6" s="80" t="s">
        <v>22</v>
      </c>
      <c r="T6" s="80" t="s">
        <v>23</v>
      </c>
      <c r="U6" s="80" t="s">
        <v>24</v>
      </c>
      <c r="V6" s="80" t="s">
        <v>25</v>
      </c>
      <c r="W6" s="78" t="s">
        <v>26</v>
      </c>
      <c r="X6" s="78" t="s">
        <v>27</v>
      </c>
      <c r="Y6" s="78" t="s">
        <v>28</v>
      </c>
      <c r="Z6" s="78" t="s">
        <v>29</v>
      </c>
      <c r="AA6" s="80" t="s">
        <v>86</v>
      </c>
      <c r="AB6" s="80" t="s">
        <v>84</v>
      </c>
      <c r="AC6" s="78" t="s">
        <v>26</v>
      </c>
      <c r="AD6" s="78" t="s">
        <v>27</v>
      </c>
      <c r="AE6" s="78" t="s">
        <v>28</v>
      </c>
      <c r="AF6" s="78" t="s">
        <v>29</v>
      </c>
      <c r="AG6" s="78" t="s">
        <v>85</v>
      </c>
      <c r="AH6" s="80" t="s">
        <v>30</v>
      </c>
    </row>
    <row r="7" spans="1:34">
      <c r="A7" s="97"/>
      <c r="B7" s="100"/>
      <c r="C7" s="101"/>
      <c r="D7" s="97"/>
      <c r="E7" s="97"/>
      <c r="F7" s="97"/>
      <c r="G7" s="12" t="s">
        <v>31</v>
      </c>
      <c r="H7" s="12" t="s">
        <v>31</v>
      </c>
      <c r="I7" s="12" t="s">
        <v>31</v>
      </c>
      <c r="M7" s="91">
        <v>1</v>
      </c>
      <c r="N7" s="75" t="s">
        <v>32</v>
      </c>
      <c r="O7" s="74">
        <v>6</v>
      </c>
      <c r="P7" s="75">
        <v>3</v>
      </c>
      <c r="Q7" s="75">
        <f t="shared" ref="Q7:Q13" si="0">+O7*P7</f>
        <v>18</v>
      </c>
      <c r="R7" s="76">
        <v>8</v>
      </c>
      <c r="S7" s="76">
        <v>10</v>
      </c>
      <c r="T7" s="75">
        <f t="shared" ref="T7:T13" si="1">SUM(Q7:S7)</f>
        <v>36</v>
      </c>
      <c r="U7" s="81">
        <f t="shared" ref="U7:U13" si="2">ROUND(T7/15,0)</f>
        <v>2</v>
      </c>
      <c r="V7" s="81">
        <v>1</v>
      </c>
      <c r="W7" s="81">
        <f>ROUNDUP(T7/8,0)</f>
        <v>5</v>
      </c>
      <c r="X7" s="81">
        <f>Q7/X$5</f>
        <v>9</v>
      </c>
      <c r="Y7" s="81">
        <f>(R7+S7)/Y$5</f>
        <v>18</v>
      </c>
      <c r="Z7" s="81">
        <f>O7/Z$5</f>
        <v>3</v>
      </c>
      <c r="AA7" s="81">
        <v>2</v>
      </c>
      <c r="AB7" s="81">
        <v>4</v>
      </c>
      <c r="AC7" s="81">
        <f>ROUNDUP(Z7/8,0)</f>
        <v>1</v>
      </c>
      <c r="AD7" s="81">
        <v>8</v>
      </c>
      <c r="AE7" s="81">
        <v>5</v>
      </c>
      <c r="AF7" s="81">
        <v>4</v>
      </c>
      <c r="AG7" s="81">
        <f>SUM(AD7:AF7)*0.7</f>
        <v>11.899999999999999</v>
      </c>
      <c r="AH7" s="77"/>
    </row>
    <row r="8" spans="1:34">
      <c r="A8" s="11" t="s">
        <v>33</v>
      </c>
      <c r="B8" s="13" t="s">
        <v>34</v>
      </c>
      <c r="C8" s="14"/>
      <c r="D8" s="15"/>
      <c r="E8" s="16"/>
      <c r="F8" s="16"/>
      <c r="G8" s="16"/>
      <c r="H8" s="17"/>
      <c r="I8" s="18"/>
      <c r="M8" s="89">
        <f>+M7+1</f>
        <v>2</v>
      </c>
      <c r="N8" s="75" t="s">
        <v>35</v>
      </c>
      <c r="O8" s="74">
        <v>4</v>
      </c>
      <c r="P8" s="75">
        <v>3</v>
      </c>
      <c r="Q8" s="75">
        <f t="shared" si="0"/>
        <v>12</v>
      </c>
      <c r="R8" s="76">
        <v>5</v>
      </c>
      <c r="S8" s="76">
        <v>10</v>
      </c>
      <c r="T8" s="75">
        <f t="shared" si="1"/>
        <v>27</v>
      </c>
      <c r="U8" s="81">
        <f t="shared" si="2"/>
        <v>2</v>
      </c>
      <c r="V8" s="81">
        <v>1</v>
      </c>
      <c r="W8" s="81">
        <f t="shared" ref="W8:W13" si="3">ROUNDUP(T8/8,0)</f>
        <v>4</v>
      </c>
      <c r="X8" s="81">
        <f t="shared" ref="X8:X13" si="4">Q8/X$5</f>
        <v>6</v>
      </c>
      <c r="Y8" s="81">
        <f t="shared" ref="Y8:Y13" si="5">(R8+S8)/Y$5</f>
        <v>15</v>
      </c>
      <c r="Z8" s="81">
        <f t="shared" ref="Z8:Z13" si="6">O8/Z$5</f>
        <v>2</v>
      </c>
      <c r="AA8" s="81">
        <v>2</v>
      </c>
      <c r="AB8" s="81">
        <v>3</v>
      </c>
      <c r="AC8" s="81">
        <f t="shared" ref="AC8:AC13" si="7">ROUNDUP(Z8/8,0)</f>
        <v>1</v>
      </c>
      <c r="AD8" s="81">
        <v>4</v>
      </c>
      <c r="AE8" s="81">
        <v>3</v>
      </c>
      <c r="AF8" s="81">
        <v>3</v>
      </c>
      <c r="AG8" s="81">
        <f t="shared" ref="AG8:AG13" si="8">SUM(AD8:AF8)*0.7</f>
        <v>7</v>
      </c>
      <c r="AH8" s="77"/>
    </row>
    <row r="9" spans="1:34" s="71" customFormat="1" ht="18" customHeight="1">
      <c r="A9" s="67">
        <v>1</v>
      </c>
      <c r="B9" s="102" t="s">
        <v>36</v>
      </c>
      <c r="C9" s="103"/>
      <c r="D9" s="68">
        <v>46</v>
      </c>
      <c r="E9" s="67" t="s">
        <v>80</v>
      </c>
      <c r="F9" s="67" t="s">
        <v>41</v>
      </c>
      <c r="G9" s="69">
        <v>85880</v>
      </c>
      <c r="H9" s="69">
        <f>+G9*D9</f>
        <v>3950480</v>
      </c>
      <c r="I9" s="70"/>
      <c r="M9" s="89">
        <f>+M8+1</f>
        <v>3</v>
      </c>
      <c r="N9" s="75" t="s">
        <v>38</v>
      </c>
      <c r="O9" s="74">
        <v>4</v>
      </c>
      <c r="P9" s="75">
        <v>4</v>
      </c>
      <c r="Q9" s="75">
        <f t="shared" si="0"/>
        <v>16</v>
      </c>
      <c r="R9" s="76">
        <v>8</v>
      </c>
      <c r="S9" s="76">
        <v>8</v>
      </c>
      <c r="T9" s="75">
        <f t="shared" si="1"/>
        <v>32</v>
      </c>
      <c r="U9" s="81">
        <f t="shared" si="2"/>
        <v>2</v>
      </c>
      <c r="V9" s="81">
        <v>1</v>
      </c>
      <c r="W9" s="81">
        <f t="shared" si="3"/>
        <v>4</v>
      </c>
      <c r="X9" s="81">
        <f t="shared" si="4"/>
        <v>8</v>
      </c>
      <c r="Y9" s="81">
        <f t="shared" si="5"/>
        <v>16</v>
      </c>
      <c r="Z9" s="81">
        <f t="shared" si="6"/>
        <v>2</v>
      </c>
      <c r="AA9" s="81">
        <v>2</v>
      </c>
      <c r="AB9" s="81">
        <v>3</v>
      </c>
      <c r="AC9" s="81">
        <f t="shared" si="7"/>
        <v>1</v>
      </c>
      <c r="AD9" s="81">
        <v>4</v>
      </c>
      <c r="AE9" s="81">
        <v>3</v>
      </c>
      <c r="AF9" s="81">
        <v>4</v>
      </c>
      <c r="AG9" s="81">
        <f t="shared" si="8"/>
        <v>7.6999999999999993</v>
      </c>
      <c r="AH9" s="82"/>
    </row>
    <row r="10" spans="1:34">
      <c r="A10" s="19">
        <f>+A9+1</f>
        <v>2</v>
      </c>
      <c r="B10" s="20" t="s">
        <v>39</v>
      </c>
      <c r="C10" s="21"/>
      <c r="D10" s="22">
        <f>+U14</f>
        <v>14</v>
      </c>
      <c r="E10" s="19" t="s">
        <v>40</v>
      </c>
      <c r="F10" s="19" t="s">
        <v>41</v>
      </c>
      <c r="G10" s="23">
        <v>45000</v>
      </c>
      <c r="H10" s="23">
        <f>+G10*D10</f>
        <v>630000</v>
      </c>
      <c r="I10" s="24"/>
      <c r="M10" s="91">
        <f t="shared" ref="M10:M13" si="9">+M9+1</f>
        <v>4</v>
      </c>
      <c r="N10" s="75" t="s">
        <v>42</v>
      </c>
      <c r="O10" s="74">
        <v>3</v>
      </c>
      <c r="P10" s="75">
        <v>3</v>
      </c>
      <c r="Q10" s="75">
        <f t="shared" si="0"/>
        <v>9</v>
      </c>
      <c r="R10" s="76">
        <v>5</v>
      </c>
      <c r="S10" s="76">
        <v>10</v>
      </c>
      <c r="T10" s="75">
        <f t="shared" si="1"/>
        <v>24</v>
      </c>
      <c r="U10" s="81">
        <f t="shared" si="2"/>
        <v>2</v>
      </c>
      <c r="V10" s="81">
        <v>1</v>
      </c>
      <c r="W10" s="81">
        <f t="shared" si="3"/>
        <v>3</v>
      </c>
      <c r="X10" s="81">
        <f t="shared" si="4"/>
        <v>4.5</v>
      </c>
      <c r="Y10" s="81">
        <f t="shared" si="5"/>
        <v>15</v>
      </c>
      <c r="Z10" s="81">
        <f t="shared" si="6"/>
        <v>1.5</v>
      </c>
      <c r="AA10" s="81">
        <v>2</v>
      </c>
      <c r="AB10" s="81">
        <v>3</v>
      </c>
      <c r="AC10" s="81">
        <f t="shared" si="7"/>
        <v>1</v>
      </c>
      <c r="AD10" s="81">
        <v>3</v>
      </c>
      <c r="AE10" s="81">
        <v>3</v>
      </c>
      <c r="AF10" s="81">
        <v>2</v>
      </c>
      <c r="AG10" s="81">
        <f t="shared" si="8"/>
        <v>5.6</v>
      </c>
      <c r="AH10" s="77"/>
    </row>
    <row r="11" spans="1:34">
      <c r="A11" s="19">
        <f t="shared" ref="A11:A18" si="10">+A10+1</f>
        <v>3</v>
      </c>
      <c r="B11" s="20" t="s">
        <v>43</v>
      </c>
      <c r="C11" s="21"/>
      <c r="D11" s="22">
        <v>14</v>
      </c>
      <c r="E11" s="19" t="s">
        <v>40</v>
      </c>
      <c r="F11" s="19" t="s">
        <v>41</v>
      </c>
      <c r="G11" s="23">
        <v>20000</v>
      </c>
      <c r="H11" s="23">
        <f>+G11*D11</f>
        <v>280000</v>
      </c>
      <c r="I11" s="24"/>
      <c r="M11" s="91">
        <f t="shared" si="9"/>
        <v>5</v>
      </c>
      <c r="N11" s="75" t="s">
        <v>44</v>
      </c>
      <c r="O11" s="74">
        <v>4</v>
      </c>
      <c r="P11" s="75">
        <v>5</v>
      </c>
      <c r="Q11" s="75">
        <f t="shared" si="0"/>
        <v>20</v>
      </c>
      <c r="R11" s="76">
        <v>10</v>
      </c>
      <c r="S11" s="76">
        <v>5</v>
      </c>
      <c r="T11" s="75">
        <f t="shared" si="1"/>
        <v>35</v>
      </c>
      <c r="U11" s="81">
        <f t="shared" si="2"/>
        <v>2</v>
      </c>
      <c r="V11" s="81">
        <v>1</v>
      </c>
      <c r="W11" s="81">
        <f t="shared" si="3"/>
        <v>5</v>
      </c>
      <c r="X11" s="81">
        <f t="shared" si="4"/>
        <v>10</v>
      </c>
      <c r="Y11" s="81">
        <f t="shared" si="5"/>
        <v>15</v>
      </c>
      <c r="Z11" s="81">
        <f t="shared" si="6"/>
        <v>2</v>
      </c>
      <c r="AA11" s="81">
        <v>2</v>
      </c>
      <c r="AB11" s="81">
        <v>3</v>
      </c>
      <c r="AC11" s="81">
        <f t="shared" si="7"/>
        <v>1</v>
      </c>
      <c r="AD11" s="81">
        <v>4</v>
      </c>
      <c r="AE11" s="81">
        <v>3</v>
      </c>
      <c r="AF11" s="81">
        <v>3</v>
      </c>
      <c r="AG11" s="81">
        <f t="shared" si="8"/>
        <v>7</v>
      </c>
      <c r="AH11" s="77"/>
    </row>
    <row r="12" spans="1:34">
      <c r="A12" s="19">
        <f t="shared" si="10"/>
        <v>4</v>
      </c>
      <c r="B12" s="20" t="s">
        <v>45</v>
      </c>
      <c r="C12" s="21"/>
      <c r="D12" s="22">
        <f>+D11</f>
        <v>14</v>
      </c>
      <c r="E12" s="19" t="s">
        <v>46</v>
      </c>
      <c r="F12" s="19" t="s">
        <v>41</v>
      </c>
      <c r="G12" s="23">
        <v>4500</v>
      </c>
      <c r="H12" s="23">
        <f t="shared" ref="H12" si="11">+G12*D12</f>
        <v>63000</v>
      </c>
      <c r="I12" s="24"/>
      <c r="M12" s="91">
        <f t="shared" si="9"/>
        <v>6</v>
      </c>
      <c r="N12" s="83" t="s">
        <v>47</v>
      </c>
      <c r="O12" s="84">
        <v>3</v>
      </c>
      <c r="P12" s="83">
        <v>4</v>
      </c>
      <c r="Q12" s="75">
        <f t="shared" si="0"/>
        <v>12</v>
      </c>
      <c r="R12" s="85">
        <v>4</v>
      </c>
      <c r="S12" s="85">
        <v>10</v>
      </c>
      <c r="T12" s="75">
        <f t="shared" si="1"/>
        <v>26</v>
      </c>
      <c r="U12" s="81">
        <f t="shared" si="2"/>
        <v>2</v>
      </c>
      <c r="V12" s="81">
        <v>1</v>
      </c>
      <c r="W12" s="81">
        <f t="shared" si="3"/>
        <v>4</v>
      </c>
      <c r="X12" s="81">
        <f t="shared" si="4"/>
        <v>6</v>
      </c>
      <c r="Y12" s="81">
        <f t="shared" si="5"/>
        <v>14</v>
      </c>
      <c r="Z12" s="81">
        <f t="shared" si="6"/>
        <v>1.5</v>
      </c>
      <c r="AA12" s="81">
        <v>2</v>
      </c>
      <c r="AB12" s="81">
        <v>3</v>
      </c>
      <c r="AC12" s="81">
        <f t="shared" si="7"/>
        <v>1</v>
      </c>
      <c r="AD12" s="81">
        <v>3</v>
      </c>
      <c r="AE12" s="81">
        <v>7</v>
      </c>
      <c r="AF12" s="81">
        <v>3</v>
      </c>
      <c r="AG12" s="81">
        <f t="shared" si="8"/>
        <v>9.1</v>
      </c>
      <c r="AH12" s="77"/>
    </row>
    <row r="13" spans="1:34">
      <c r="A13" s="19">
        <f t="shared" si="10"/>
        <v>5</v>
      </c>
      <c r="B13" s="20" t="s">
        <v>48</v>
      </c>
      <c r="C13" s="21"/>
      <c r="D13" s="22">
        <f>+D12</f>
        <v>14</v>
      </c>
      <c r="E13" s="19" t="s">
        <v>40</v>
      </c>
      <c r="F13" s="19" t="s">
        <v>41</v>
      </c>
      <c r="G13" s="23">
        <v>7000</v>
      </c>
      <c r="H13" s="23">
        <f>G13*D13</f>
        <v>98000</v>
      </c>
      <c r="I13" s="24"/>
      <c r="M13" s="89">
        <f t="shared" si="9"/>
        <v>7</v>
      </c>
      <c r="N13" s="75" t="s">
        <v>49</v>
      </c>
      <c r="O13" s="74">
        <v>4</v>
      </c>
      <c r="P13" s="75">
        <v>3</v>
      </c>
      <c r="Q13" s="75">
        <f t="shared" si="0"/>
        <v>12</v>
      </c>
      <c r="R13" s="76">
        <v>4</v>
      </c>
      <c r="S13" s="76">
        <v>10</v>
      </c>
      <c r="T13" s="75">
        <f t="shared" si="1"/>
        <v>26</v>
      </c>
      <c r="U13" s="81">
        <f t="shared" si="2"/>
        <v>2</v>
      </c>
      <c r="V13" s="81">
        <v>1</v>
      </c>
      <c r="W13" s="81">
        <f t="shared" si="3"/>
        <v>4</v>
      </c>
      <c r="X13" s="81">
        <f t="shared" si="4"/>
        <v>6</v>
      </c>
      <c r="Y13" s="81">
        <f t="shared" si="5"/>
        <v>14</v>
      </c>
      <c r="Z13" s="81">
        <f t="shared" si="6"/>
        <v>2</v>
      </c>
      <c r="AA13" s="81">
        <v>2</v>
      </c>
      <c r="AB13" s="81">
        <v>3</v>
      </c>
      <c r="AC13" s="81">
        <f t="shared" si="7"/>
        <v>1</v>
      </c>
      <c r="AD13" s="81">
        <v>4</v>
      </c>
      <c r="AE13" s="81">
        <v>3</v>
      </c>
      <c r="AF13" s="81">
        <v>2</v>
      </c>
      <c r="AG13" s="81">
        <f t="shared" si="8"/>
        <v>6.3</v>
      </c>
      <c r="AH13" s="77"/>
    </row>
    <row r="14" spans="1:34">
      <c r="A14" s="19">
        <f t="shared" si="10"/>
        <v>6</v>
      </c>
      <c r="B14" s="20" t="s">
        <v>50</v>
      </c>
      <c r="C14" s="21"/>
      <c r="D14" s="22">
        <f>+AC14</f>
        <v>7</v>
      </c>
      <c r="E14" s="19" t="s">
        <v>51</v>
      </c>
      <c r="F14" s="19" t="s">
        <v>41</v>
      </c>
      <c r="G14" s="23">
        <v>52000</v>
      </c>
      <c r="H14" s="23">
        <f t="shared" ref="H14:H18" si="12">+G14*D14</f>
        <v>364000</v>
      </c>
      <c r="I14" s="24"/>
      <c r="M14" s="74"/>
      <c r="N14" s="75"/>
      <c r="O14" s="74"/>
      <c r="P14" s="75"/>
      <c r="Q14" s="78">
        <f t="shared" ref="Q14:Z14" si="13">SUM(Q7:Q13)</f>
        <v>99</v>
      </c>
      <c r="R14" s="78">
        <f t="shared" si="13"/>
        <v>44</v>
      </c>
      <c r="S14" s="78">
        <f t="shared" si="13"/>
        <v>63</v>
      </c>
      <c r="T14" s="78">
        <f t="shared" si="13"/>
        <v>206</v>
      </c>
      <c r="U14" s="86">
        <f t="shared" si="13"/>
        <v>14</v>
      </c>
      <c r="V14" s="86">
        <f t="shared" si="13"/>
        <v>7</v>
      </c>
      <c r="W14" s="86">
        <f t="shared" si="13"/>
        <v>29</v>
      </c>
      <c r="X14" s="86">
        <f t="shared" si="13"/>
        <v>49.5</v>
      </c>
      <c r="Y14" s="86">
        <f t="shared" si="13"/>
        <v>107</v>
      </c>
      <c r="Z14" s="86">
        <f t="shared" si="13"/>
        <v>14</v>
      </c>
      <c r="AA14" s="86">
        <f t="shared" ref="AA14:AF14" si="14">SUM(AA7:AA13)</f>
        <v>14</v>
      </c>
      <c r="AB14" s="86">
        <f t="shared" si="14"/>
        <v>22</v>
      </c>
      <c r="AC14" s="86">
        <f t="shared" si="14"/>
        <v>7</v>
      </c>
      <c r="AD14" s="86">
        <f t="shared" si="14"/>
        <v>30</v>
      </c>
      <c r="AE14" s="86">
        <f t="shared" si="14"/>
        <v>27</v>
      </c>
      <c r="AF14" s="86">
        <f t="shared" si="14"/>
        <v>21</v>
      </c>
      <c r="AG14" s="81">
        <f>SUM(AG7:AG13)</f>
        <v>54.599999999999994</v>
      </c>
      <c r="AH14" s="77"/>
    </row>
    <row r="15" spans="1:34">
      <c r="A15" s="19">
        <f t="shared" si="10"/>
        <v>7</v>
      </c>
      <c r="B15" s="20" t="s">
        <v>52</v>
      </c>
      <c r="C15" s="21"/>
      <c r="D15" s="22">
        <v>7</v>
      </c>
      <c r="E15" s="19" t="s">
        <v>40</v>
      </c>
      <c r="F15" s="19" t="s">
        <v>41</v>
      </c>
      <c r="G15" s="23">
        <v>15000</v>
      </c>
      <c r="H15" s="23">
        <f t="shared" si="12"/>
        <v>105000</v>
      </c>
      <c r="I15" s="24"/>
      <c r="M15" s="74"/>
      <c r="N15" s="75"/>
      <c r="O15" s="74"/>
      <c r="P15" s="75"/>
      <c r="Q15" s="78"/>
      <c r="R15" s="80"/>
      <c r="S15" s="78">
        <f>SUM(Q14:S14)</f>
        <v>206</v>
      </c>
      <c r="T15" s="78"/>
      <c r="U15" s="78"/>
      <c r="V15" s="78"/>
      <c r="W15" s="75"/>
      <c r="X15" s="75"/>
      <c r="Y15" s="75"/>
      <c r="Z15" s="75">
        <f>SUM(X14:Z14)</f>
        <v>170.5</v>
      </c>
      <c r="AA15" s="78"/>
      <c r="AB15" s="78"/>
      <c r="AC15" s="75"/>
      <c r="AD15" s="75"/>
      <c r="AE15" s="75"/>
      <c r="AF15" s="75">
        <f>SUM(AD14:AF14)</f>
        <v>78</v>
      </c>
      <c r="AG15" s="75"/>
      <c r="AH15" s="77"/>
    </row>
    <row r="16" spans="1:34">
      <c r="A16" s="19">
        <f t="shared" si="10"/>
        <v>8</v>
      </c>
      <c r="B16" s="20" t="s">
        <v>53</v>
      </c>
      <c r="C16" s="21"/>
      <c r="D16" s="22">
        <f>+V14*2</f>
        <v>14</v>
      </c>
      <c r="E16" s="19" t="s">
        <v>40</v>
      </c>
      <c r="F16" s="19" t="s">
        <v>41</v>
      </c>
      <c r="G16" s="23">
        <v>5000</v>
      </c>
      <c r="H16" s="23">
        <f t="shared" si="12"/>
        <v>70000</v>
      </c>
      <c r="I16" s="24"/>
      <c r="N16" s="64"/>
      <c r="O16" s="9"/>
      <c r="P16" s="64"/>
      <c r="Q16" s="64"/>
      <c r="R16" s="65"/>
      <c r="S16" s="65"/>
      <c r="T16" s="64"/>
      <c r="U16" s="64"/>
      <c r="V16" s="64"/>
      <c r="AD16" s="5">
        <v>3</v>
      </c>
      <c r="AE16" s="5">
        <v>6</v>
      </c>
      <c r="AF16" s="5">
        <v>11</v>
      </c>
      <c r="AG16" s="5">
        <v>1</v>
      </c>
    </row>
    <row r="17" spans="1:33" s="71" customFormat="1" ht="18" customHeight="1">
      <c r="A17" s="19">
        <f t="shared" si="10"/>
        <v>9</v>
      </c>
      <c r="B17" s="102" t="s">
        <v>54</v>
      </c>
      <c r="C17" s="103"/>
      <c r="D17" s="68">
        <v>14</v>
      </c>
      <c r="E17" s="67" t="s">
        <v>40</v>
      </c>
      <c r="F17" s="67" t="s">
        <v>41</v>
      </c>
      <c r="G17" s="69">
        <v>6000</v>
      </c>
      <c r="H17" s="69">
        <f t="shared" si="12"/>
        <v>84000</v>
      </c>
      <c r="I17" s="70"/>
      <c r="P17" s="64"/>
      <c r="Q17" s="64"/>
      <c r="R17" s="65" t="s">
        <v>87</v>
      </c>
      <c r="S17" s="65">
        <f>+S15</f>
        <v>206</v>
      </c>
      <c r="T17" s="64"/>
      <c r="U17" s="64"/>
      <c r="V17" s="64"/>
      <c r="W17" s="64"/>
      <c r="X17" s="72"/>
      <c r="Y17" s="72"/>
      <c r="Z17" s="72"/>
      <c r="AD17" s="71">
        <f t="shared" ref="AD17:AF17" si="15">+AD14-AD16</f>
        <v>27</v>
      </c>
      <c r="AE17" s="71">
        <f t="shared" si="15"/>
        <v>21</v>
      </c>
      <c r="AF17" s="71">
        <f t="shared" si="15"/>
        <v>10</v>
      </c>
      <c r="AG17" s="71">
        <f>+AG14-AG16</f>
        <v>53.599999999999994</v>
      </c>
    </row>
    <row r="18" spans="1:33" s="71" customFormat="1" ht="18" customHeight="1">
      <c r="A18" s="19">
        <f t="shared" si="10"/>
        <v>10</v>
      </c>
      <c r="B18" s="102" t="s">
        <v>55</v>
      </c>
      <c r="C18" s="103"/>
      <c r="D18" s="68">
        <v>62</v>
      </c>
      <c r="E18" s="67" t="s">
        <v>37</v>
      </c>
      <c r="F18" s="67" t="s">
        <v>81</v>
      </c>
      <c r="G18" s="69">
        <v>19352.5</v>
      </c>
      <c r="H18" s="69">
        <f t="shared" si="12"/>
        <v>1199855</v>
      </c>
      <c r="I18" s="70"/>
      <c r="P18" s="64"/>
      <c r="Q18" s="64"/>
      <c r="R18" s="65" t="s">
        <v>88</v>
      </c>
      <c r="S18" s="65">
        <f>+S17</f>
        <v>206</v>
      </c>
      <c r="T18" s="64" t="s">
        <v>89</v>
      </c>
      <c r="U18" s="64"/>
      <c r="V18" s="64"/>
      <c r="W18" s="64"/>
      <c r="X18" s="72"/>
      <c r="Y18" s="72"/>
      <c r="Z18" s="72"/>
      <c r="AG18" s="71">
        <f>55-38</f>
        <v>17</v>
      </c>
    </row>
    <row r="19" spans="1:33">
      <c r="A19" s="27"/>
      <c r="B19" s="20"/>
      <c r="C19" s="21"/>
      <c r="D19" s="28"/>
      <c r="E19" s="19"/>
      <c r="F19" s="19"/>
      <c r="G19" s="25"/>
      <c r="H19" s="29"/>
      <c r="I19" s="30">
        <f>SUM(H9:H19)</f>
        <v>6844335</v>
      </c>
      <c r="M19" s="9" t="s">
        <v>56</v>
      </c>
      <c r="N19" s="64" t="s">
        <v>57</v>
      </c>
      <c r="O19" s="9">
        <v>124</v>
      </c>
      <c r="P19" s="64"/>
      <c r="Q19" s="64"/>
      <c r="R19" s="65"/>
      <c r="S19" s="65">
        <f>+S18/1.5</f>
        <v>137.33333333333334</v>
      </c>
      <c r="T19" s="64" t="s">
        <v>90</v>
      </c>
      <c r="U19" s="64"/>
      <c r="V19" s="64"/>
      <c r="AG19" s="5">
        <f>+AG18*30000</f>
        <v>510000</v>
      </c>
    </row>
    <row r="20" spans="1:33">
      <c r="A20" s="31" t="s">
        <v>58</v>
      </c>
      <c r="B20" s="13" t="s">
        <v>59</v>
      </c>
      <c r="C20" s="14"/>
      <c r="D20" s="15"/>
      <c r="E20" s="32"/>
      <c r="F20" s="32"/>
      <c r="G20" s="33"/>
      <c r="H20" s="25"/>
      <c r="I20" s="26"/>
      <c r="M20" s="9" t="s">
        <v>60</v>
      </c>
      <c r="N20" s="64" t="s">
        <v>61</v>
      </c>
      <c r="O20" s="9">
        <v>138</v>
      </c>
    </row>
    <row r="21" spans="1:33">
      <c r="A21" s="34">
        <v>1</v>
      </c>
      <c r="B21" s="20" t="s">
        <v>82</v>
      </c>
      <c r="C21" s="21"/>
      <c r="D21" s="22">
        <v>14</v>
      </c>
      <c r="E21" s="19" t="s">
        <v>26</v>
      </c>
      <c r="F21" s="67" t="s">
        <v>81</v>
      </c>
      <c r="G21" s="35">
        <v>170000</v>
      </c>
      <c r="H21" s="35">
        <f>G21*D21</f>
        <v>2380000</v>
      </c>
      <c r="I21" s="24"/>
    </row>
    <row r="22" spans="1:33">
      <c r="A22" s="34">
        <v>2</v>
      </c>
      <c r="B22" s="20" t="s">
        <v>83</v>
      </c>
      <c r="C22" s="21"/>
      <c r="D22" s="22">
        <v>14</v>
      </c>
      <c r="E22" s="19" t="s">
        <v>26</v>
      </c>
      <c r="F22" s="67" t="s">
        <v>81</v>
      </c>
      <c r="G22" s="35">
        <v>208000</v>
      </c>
      <c r="H22" s="35">
        <f>G22*D22</f>
        <v>2912000</v>
      </c>
      <c r="I22" s="24"/>
    </row>
    <row r="23" spans="1:33">
      <c r="A23" s="34">
        <v>3</v>
      </c>
      <c r="B23" s="20" t="s">
        <v>64</v>
      </c>
      <c r="C23" s="21"/>
      <c r="D23" s="22" t="s">
        <v>62</v>
      </c>
      <c r="E23" s="19" t="s">
        <v>62</v>
      </c>
      <c r="F23" s="19" t="s">
        <v>63</v>
      </c>
      <c r="G23" s="35">
        <v>50000</v>
      </c>
      <c r="H23" s="35">
        <f>G23</f>
        <v>50000</v>
      </c>
      <c r="I23" s="24"/>
    </row>
    <row r="24" spans="1:33">
      <c r="A24" s="34"/>
      <c r="B24" s="36"/>
      <c r="C24" s="21"/>
      <c r="D24" s="23"/>
      <c r="E24" s="19"/>
      <c r="F24" s="19"/>
      <c r="G24" s="35"/>
      <c r="H24" s="35"/>
      <c r="I24" s="37">
        <f>SUM(H21:H23)</f>
        <v>5342000</v>
      </c>
    </row>
    <row r="25" spans="1:33">
      <c r="A25" s="38"/>
      <c r="B25" s="39"/>
      <c r="C25" s="39"/>
      <c r="D25" s="40"/>
      <c r="E25" s="41"/>
      <c r="F25" s="42"/>
      <c r="G25" s="42" t="s">
        <v>65</v>
      </c>
      <c r="H25" s="43"/>
      <c r="I25" s="44">
        <f>I19+I24</f>
        <v>12186335</v>
      </c>
      <c r="N25" s="5">
        <f>7*3*200000</f>
        <v>4200000</v>
      </c>
    </row>
    <row r="26" spans="1:33">
      <c r="A26" s="36"/>
      <c r="B26" s="46"/>
      <c r="C26" s="46"/>
      <c r="D26" s="47"/>
      <c r="E26" s="47"/>
      <c r="F26" s="48"/>
      <c r="G26" s="49"/>
      <c r="H26" s="50"/>
      <c r="I26" s="30"/>
    </row>
    <row r="27" spans="1:33">
      <c r="A27" s="51"/>
      <c r="B27" s="52" t="s">
        <v>66</v>
      </c>
      <c r="C27" s="52"/>
      <c r="D27" s="53"/>
      <c r="E27" s="52"/>
      <c r="F27" s="52"/>
      <c r="G27" s="54"/>
      <c r="H27" s="55" t="s">
        <v>67</v>
      </c>
      <c r="I27" s="17">
        <f>I25</f>
        <v>12186335</v>
      </c>
    </row>
    <row r="28" spans="1:33">
      <c r="A28" s="56"/>
      <c r="B28" s="73" t="str">
        <f>+M36</f>
        <v>Dua Belas  Juta Se Ratus Delapan Puluh Enam Ribu Rupiah</v>
      </c>
      <c r="C28" s="57"/>
      <c r="D28" s="58"/>
      <c r="E28" s="59"/>
      <c r="F28" s="59"/>
      <c r="G28" s="60"/>
      <c r="H28" s="61" t="s">
        <v>68</v>
      </c>
      <c r="I28" s="37">
        <f>ROUND(I27,-3)</f>
        <v>12186000</v>
      </c>
      <c r="M28" s="1">
        <f>+I28</f>
        <v>12186000</v>
      </c>
      <c r="N28" s="2">
        <v>1</v>
      </c>
      <c r="O28" s="2">
        <f>+N28*10</f>
        <v>10</v>
      </c>
      <c r="P28" s="2">
        <f t="shared" ref="P28:W28" si="16">+O28*10</f>
        <v>100</v>
      </c>
      <c r="Q28" s="2">
        <f t="shared" si="16"/>
        <v>1000</v>
      </c>
      <c r="R28" s="2">
        <f t="shared" si="16"/>
        <v>10000</v>
      </c>
      <c r="S28" s="2">
        <f t="shared" si="16"/>
        <v>100000</v>
      </c>
      <c r="T28" s="2">
        <f t="shared" si="16"/>
        <v>1000000</v>
      </c>
      <c r="U28" s="2">
        <f t="shared" si="16"/>
        <v>10000000</v>
      </c>
      <c r="V28" s="2">
        <f t="shared" si="16"/>
        <v>100000000</v>
      </c>
      <c r="W28" s="2">
        <f t="shared" si="16"/>
        <v>1000000000</v>
      </c>
    </row>
    <row r="29" spans="1:33">
      <c r="A29" s="62"/>
      <c r="B29" s="62"/>
      <c r="C29" s="62"/>
      <c r="D29" s="45"/>
      <c r="E29" s="62"/>
      <c r="F29" s="62"/>
      <c r="G29" s="62"/>
      <c r="H29" s="62"/>
      <c r="I29" s="63"/>
      <c r="M29" s="3" t="s">
        <v>69</v>
      </c>
      <c r="N29" s="2">
        <v>0</v>
      </c>
      <c r="O29" s="4">
        <f>MOD(M28,O28)</f>
        <v>0</v>
      </c>
      <c r="P29" s="4">
        <f>MOD(M28,P28)</f>
        <v>0</v>
      </c>
      <c r="Q29" s="4">
        <f>MOD(M28,Q28)</f>
        <v>0</v>
      </c>
      <c r="R29" s="4">
        <f>MOD(M28,R28)</f>
        <v>6000</v>
      </c>
      <c r="S29" s="4">
        <f>MOD(M28,S28)</f>
        <v>86000</v>
      </c>
      <c r="T29" s="4">
        <f>MOD(M28,T28)</f>
        <v>186000</v>
      </c>
      <c r="U29" s="4">
        <f>MOD(M28,U28)</f>
        <v>2186000</v>
      </c>
      <c r="V29" s="4">
        <f>MOD(M28,V28)</f>
        <v>12186000</v>
      </c>
      <c r="W29" s="4">
        <f>MOD(M28,W28)</f>
        <v>12186000</v>
      </c>
    </row>
    <row r="30" spans="1:33">
      <c r="A30" s="62"/>
      <c r="B30" s="62"/>
      <c r="C30" s="62"/>
      <c r="D30" s="45"/>
      <c r="E30" s="62"/>
      <c r="F30" s="62"/>
      <c r="G30" s="62"/>
      <c r="H30" s="104" t="s">
        <v>79</v>
      </c>
      <c r="I30" s="104"/>
      <c r="M30" s="2"/>
      <c r="N30" s="2"/>
      <c r="O30" s="2">
        <f t="shared" ref="O30:T30" si="17">+O29-N29</f>
        <v>0</v>
      </c>
      <c r="P30" s="2">
        <f t="shared" si="17"/>
        <v>0</v>
      </c>
      <c r="Q30" s="2">
        <f t="shared" si="17"/>
        <v>0</v>
      </c>
      <c r="R30" s="2">
        <f t="shared" si="17"/>
        <v>6000</v>
      </c>
      <c r="S30" s="2">
        <f t="shared" si="17"/>
        <v>80000</v>
      </c>
      <c r="T30" s="2">
        <f t="shared" si="17"/>
        <v>100000</v>
      </c>
      <c r="U30" s="2">
        <f>+U29-T29</f>
        <v>2000000</v>
      </c>
      <c r="V30" s="2">
        <f t="shared" ref="V30:W30" si="18">+V29-U29</f>
        <v>10000000</v>
      </c>
      <c r="W30" s="2">
        <f t="shared" si="18"/>
        <v>0</v>
      </c>
    </row>
    <row r="31" spans="1:33">
      <c r="A31" s="104" t="s">
        <v>70</v>
      </c>
      <c r="B31" s="104"/>
      <c r="C31" s="104"/>
      <c r="D31" s="104" t="s">
        <v>71</v>
      </c>
      <c r="E31" s="104"/>
      <c r="F31" s="104"/>
      <c r="G31" s="62"/>
      <c r="H31" s="104" t="s">
        <v>72</v>
      </c>
      <c r="I31" s="104"/>
      <c r="M31" s="2"/>
      <c r="N31" s="2"/>
      <c r="O31" s="2">
        <f t="shared" ref="O31:T31" si="19">+O30*10/O28</f>
        <v>0</v>
      </c>
      <c r="P31" s="2">
        <f t="shared" si="19"/>
        <v>0</v>
      </c>
      <c r="Q31" s="2">
        <f t="shared" si="19"/>
        <v>0</v>
      </c>
      <c r="R31" s="2">
        <f t="shared" si="19"/>
        <v>6</v>
      </c>
      <c r="S31" s="2">
        <f t="shared" si="19"/>
        <v>8</v>
      </c>
      <c r="T31" s="2">
        <f t="shared" si="19"/>
        <v>1</v>
      </c>
      <c r="U31" s="2">
        <f>+U30*10/U28</f>
        <v>2</v>
      </c>
      <c r="V31" s="2">
        <f t="shared" ref="V31:W31" si="20">+V30*10/V28</f>
        <v>1</v>
      </c>
      <c r="W31" s="2">
        <f t="shared" si="20"/>
        <v>0</v>
      </c>
    </row>
    <row r="32" spans="1:33">
      <c r="A32" s="62"/>
      <c r="B32" s="62"/>
      <c r="C32" s="62"/>
      <c r="D32" s="45"/>
      <c r="E32" s="62"/>
      <c r="F32" s="62"/>
      <c r="G32" s="62"/>
      <c r="H32" s="62"/>
      <c r="I32" s="62"/>
      <c r="M32" s="2"/>
      <c r="N32" s="2"/>
      <c r="O32" s="2" t="str">
        <f>IF(AND(O31&gt;0,P31&lt;&gt;1),CHOOSE(O31,"satu","dua","tiga","empat","lima","enam","tujuh","delapan","sembilan"),"")</f>
        <v/>
      </c>
      <c r="P32" s="2" t="str">
        <f>IF(P31&gt;0,CHOOSE(P31,CHOOSE(O31+1,"se","se","dua","tiga","empat","lima","enam","tujuh","delapan","sembilan"),"dua","tiga","empat","lima","enam","tujuh","delapan","sembilan"),"")</f>
        <v/>
      </c>
      <c r="Q32" s="2" t="str">
        <f>IF(Q31&gt;0,CHOOSE(Q31,"se","dua","tiga","empat","lima","enam","tujuh","delapan","sembilan"),"")</f>
        <v/>
      </c>
      <c r="R32" s="2" t="str">
        <f>IF(AND(R31&gt;0,S31&lt;&gt;1),CHOOSE(R31,"satu","dua","tiga","empat","lima","enam","tujuh","delapan","sembilan"),"")</f>
        <v>enam</v>
      </c>
      <c r="S32" s="2" t="str">
        <f>IF(S31&gt;0,CHOOSE(S31,CHOOSE(R31+1,"se","se","dua","tiga","empat","lima","enam","tujuh","delapan","sembilan"),"dua","tiga","empat","lima","enam","tujuh","delapan","sembilan"),"")</f>
        <v>delapan</v>
      </c>
      <c r="T32" s="2" t="str">
        <f>IF(T31&gt;0,CHOOSE(T31,"se","dua","tiga","empat","lima","enam","tujuh","delapan","sembilan"),"")</f>
        <v>se</v>
      </c>
      <c r="U32" s="2" t="str">
        <f>IF(AND(U31&gt;0,V31&lt;&gt;1),CHOOSE(U31,"satu","dua","tiga","empat","lima","enam","tujuh","delapan","sembilan"),"")</f>
        <v/>
      </c>
      <c r="V32" s="2" t="str">
        <f>IF(V31&gt;0,CHOOSE(V31,CHOOSE(U31+1,"","se","dua","tiga","empat","lima","enam","tujuh","delapan","sembilan"),"dua","tiga","empat","lima","enam","tujuh","delapan","sembilan"),"")</f>
        <v>dua</v>
      </c>
      <c r="W32" s="2" t="str">
        <f>IF(W31&gt;0,CHOOSE(W31,"se","dua","tiga","empat","lima","enam","tujuh","delapan","sembilan"),"")</f>
        <v/>
      </c>
    </row>
    <row r="33" spans="1:23">
      <c r="A33" s="62"/>
      <c r="B33" s="62"/>
      <c r="C33" s="62"/>
      <c r="D33" s="45"/>
      <c r="E33" s="62"/>
      <c r="F33" s="62"/>
      <c r="G33" s="62"/>
      <c r="H33" s="62"/>
      <c r="I33" s="62"/>
      <c r="M33" s="2"/>
      <c r="N33" s="2"/>
      <c r="O33" s="2"/>
      <c r="P33" s="2" t="str">
        <f>IF(P31&gt;0,IF(AND(P31=1,O31&gt;0)," belas "," puluh "),"")</f>
        <v/>
      </c>
      <c r="Q33" s="2" t="str">
        <f>IF(Q31&gt;0," ratus ","")</f>
        <v/>
      </c>
      <c r="R33" s="2" t="str">
        <f>IF(SUM(R31,T31)&gt;0," ribu ","")</f>
        <v xml:space="preserve"> ribu </v>
      </c>
      <c r="S33" s="2" t="str">
        <f>IF(S31&gt;0,IF(AND(S31=1,R31&gt;0)," belas "," puluh "),"")</f>
        <v xml:space="preserve"> puluh </v>
      </c>
      <c r="T33" s="2" t="str">
        <f>IF(T31&gt;0," ratus ","")</f>
        <v xml:space="preserve"> ratus </v>
      </c>
      <c r="U33" s="2" t="str">
        <f>IF(SUM(U31,W31)&gt;0," juta ","")</f>
        <v xml:space="preserve"> juta </v>
      </c>
      <c r="V33" s="2" t="str">
        <f>IF(V31&gt;0,IF(AND(V31=1,U31&gt;0)," belas "," puluh "),"")</f>
        <v xml:space="preserve"> belas </v>
      </c>
      <c r="W33" s="2" t="str">
        <f>IF(W31&gt;0," ratus ","")</f>
        <v/>
      </c>
    </row>
    <row r="34" spans="1:23">
      <c r="A34" s="62"/>
      <c r="B34" s="62"/>
      <c r="C34" s="62"/>
      <c r="D34" s="45"/>
      <c r="E34" s="62"/>
      <c r="F34" s="62"/>
      <c r="G34" s="62"/>
      <c r="H34" s="62"/>
      <c r="I34" s="62"/>
      <c r="M34" s="2"/>
      <c r="N34" s="2"/>
      <c r="O34" s="2" t="str">
        <f>CONCATENATE(O32,O27)</f>
        <v/>
      </c>
      <c r="P34" s="2" t="str">
        <f t="shared" ref="P34:W34" si="21">CONCATENATE(P32,P33)</f>
        <v/>
      </c>
      <c r="Q34" s="2" t="str">
        <f t="shared" si="21"/>
        <v/>
      </c>
      <c r="R34" s="2" t="str">
        <f t="shared" si="21"/>
        <v xml:space="preserve">enam ribu </v>
      </c>
      <c r="S34" s="2" t="str">
        <f t="shared" si="21"/>
        <v xml:space="preserve">delapan puluh </v>
      </c>
      <c r="T34" s="2" t="str">
        <f t="shared" si="21"/>
        <v xml:space="preserve">se ratus </v>
      </c>
      <c r="U34" s="2" t="str">
        <f t="shared" si="21"/>
        <v xml:space="preserve"> juta </v>
      </c>
      <c r="V34" s="2" t="str">
        <f t="shared" si="21"/>
        <v xml:space="preserve">dua belas </v>
      </c>
      <c r="W34" s="2" t="str">
        <f t="shared" si="21"/>
        <v/>
      </c>
    </row>
    <row r="35" spans="1:23">
      <c r="A35" s="105" t="s">
        <v>77</v>
      </c>
      <c r="B35" s="105"/>
      <c r="C35" s="105"/>
      <c r="D35" s="105" t="s">
        <v>78</v>
      </c>
      <c r="E35" s="105"/>
      <c r="F35" s="105"/>
      <c r="G35" s="88"/>
      <c r="H35" s="105" t="s">
        <v>73</v>
      </c>
      <c r="I35" s="105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>
      <c r="A36" s="104" t="s">
        <v>74</v>
      </c>
      <c r="B36" s="104"/>
      <c r="C36" s="104"/>
      <c r="D36" s="104" t="s">
        <v>76</v>
      </c>
      <c r="E36" s="104"/>
      <c r="F36" s="104"/>
      <c r="G36" s="62"/>
      <c r="H36" s="104" t="s">
        <v>75</v>
      </c>
      <c r="I36" s="104"/>
      <c r="M36" s="3" t="str">
        <f>PROPER(CONCATENATE(W34,V34,U34,T34,S34,R34,Q34,P34,O34,M29))</f>
        <v>Dua Belas  Juta Se Ratus Delapan Puluh Enam Ribu Rupiah</v>
      </c>
      <c r="N36" s="2"/>
      <c r="O36" s="2"/>
      <c r="P36" s="2"/>
      <c r="Q36" s="2"/>
      <c r="R36" s="2"/>
      <c r="S36" s="2"/>
      <c r="T36" s="2"/>
      <c r="U36" s="2"/>
      <c r="V36" s="2"/>
      <c r="W36" s="2"/>
    </row>
  </sheetData>
  <mergeCells count="22">
    <mergeCell ref="A35:C35"/>
    <mergeCell ref="D35:F35"/>
    <mergeCell ref="H35:I35"/>
    <mergeCell ref="A36:C36"/>
    <mergeCell ref="D36:F36"/>
    <mergeCell ref="H36:I36"/>
    <mergeCell ref="B9:C9"/>
    <mergeCell ref="B17:C17"/>
    <mergeCell ref="B18:C18"/>
    <mergeCell ref="H30:I30"/>
    <mergeCell ref="A31:C31"/>
    <mergeCell ref="D31:F31"/>
    <mergeCell ref="H31:I31"/>
    <mergeCell ref="B2:I2"/>
    <mergeCell ref="B3:I3"/>
    <mergeCell ref="B4:I4"/>
    <mergeCell ref="R5:S5"/>
    <mergeCell ref="A6:A7"/>
    <mergeCell ref="B6:C7"/>
    <mergeCell ref="D6:D7"/>
    <mergeCell ref="E6:E7"/>
    <mergeCell ref="F6:F7"/>
  </mergeCells>
  <printOptions horizontalCentered="1"/>
  <pageMargins left="0.43307086614173229" right="0.47244094488188981" top="0.82677165354330717" bottom="0.55118110236220474" header="1.7716535433070868" footer="0.74803149606299213"/>
  <pageSetup paperSize="9" scale="10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37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rab 2024</vt:lpstr>
      <vt:lpstr>Sheet1</vt:lpstr>
      <vt:lpstr>Sheet2</vt:lpstr>
      <vt:lpstr>Sheet3</vt:lpstr>
    </vt:vector>
  </TitlesOfParts>
  <Company>Divisi TransDist, Bid. OP - PDAM Tirtanadi Prov. 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Fadhli Smart</dc:creator>
  <cp:lastModifiedBy>Fadhli Smart</cp:lastModifiedBy>
  <cp:lastPrinted>2024-08-28T02:16:57Z</cp:lastPrinted>
  <dcterms:created xsi:type="dcterms:W3CDTF">2024-08-10T08:23:01Z</dcterms:created>
  <dcterms:modified xsi:type="dcterms:W3CDTF">2024-10-21T05:44:04Z</dcterms:modified>
</cp:coreProperties>
</file>