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920" windowHeight="5160" tabRatio="734" activeTab="2"/>
  </bookViews>
  <sheets>
    <sheet name="Sheet1" sheetId="12" r:id="rId1"/>
    <sheet name="BreakDown Tangki" sheetId="11" r:id="rId2"/>
    <sheet name="rab 2021" sheetId="8" r:id="rId3"/>
  </sheets>
  <definedNames>
    <definedName name="_xlnm.Print_Area" localSheetId="1">'BreakDown Tangki'!$D$37:$AP$52</definedName>
    <definedName name="_xlnm.Print_Area" localSheetId="2">'rab 2021'!$A$3:$I$38</definedName>
  </definedNames>
  <calcPr calcId="124519"/>
</workbook>
</file>

<file path=xl/calcChain.xml><?xml version="1.0" encoding="utf-8"?>
<calcChain xmlns="http://schemas.openxmlformats.org/spreadsheetml/2006/main">
  <c r="D22" i="8"/>
  <c r="H22" s="1"/>
  <c r="D21"/>
  <c r="H21" s="1"/>
  <c r="D15"/>
  <c r="H15" s="1"/>
  <c r="D12"/>
  <c r="D11"/>
  <c r="D10"/>
  <c r="R7"/>
  <c r="R6"/>
  <c r="Q7"/>
  <c r="Q6"/>
  <c r="P29"/>
  <c r="Q29" s="1"/>
  <c r="R29" s="1"/>
  <c r="S29" s="1"/>
  <c r="T29" s="1"/>
  <c r="O29"/>
  <c r="H23"/>
  <c r="K19"/>
  <c r="K18"/>
  <c r="K17"/>
  <c r="K16"/>
  <c r="D16"/>
  <c r="H16" s="1"/>
  <c r="K15"/>
  <c r="H14"/>
  <c r="K13"/>
  <c r="A11"/>
  <c r="A12" s="1"/>
  <c r="A13" s="1"/>
  <c r="A14" s="1"/>
  <c r="A15" s="1"/>
  <c r="A16" s="1"/>
  <c r="A17" s="1"/>
  <c r="A18" s="1"/>
  <c r="U9"/>
  <c r="T9"/>
  <c r="S9"/>
  <c r="H11" s="1"/>
  <c r="O9"/>
  <c r="I24" l="1"/>
  <c r="XFD24" s="1"/>
  <c r="Q9"/>
  <c r="D17"/>
  <c r="U29"/>
  <c r="V29" s="1"/>
  <c r="W29" s="1"/>
  <c r="H12"/>
  <c r="H13"/>
  <c r="H17" l="1"/>
  <c r="H18"/>
  <c r="H10"/>
  <c r="I19" l="1"/>
  <c r="I25" s="1"/>
  <c r="I28" s="1"/>
  <c r="I29" s="1"/>
  <c r="M29" s="1"/>
  <c r="T30" l="1"/>
  <c r="S30"/>
  <c r="Q30"/>
  <c r="R30"/>
  <c r="U30"/>
  <c r="O30"/>
  <c r="O31" s="1"/>
  <c r="O32" s="1"/>
  <c r="V30"/>
  <c r="W30"/>
  <c r="P30"/>
  <c r="S31" l="1"/>
  <c r="S32" s="1"/>
  <c r="S33" s="1"/>
  <c r="U31"/>
  <c r="U32" s="1"/>
  <c r="V33" s="1"/>
  <c r="Q31"/>
  <c r="Q32" s="1"/>
  <c r="Q33" s="1"/>
  <c r="V31"/>
  <c r="V32" s="1"/>
  <c r="P31"/>
  <c r="P32" s="1"/>
  <c r="O33" s="1"/>
  <c r="O35" s="1"/>
  <c r="W31"/>
  <c r="W32" s="1"/>
  <c r="W34" s="1"/>
  <c r="R31"/>
  <c r="R32" s="1"/>
  <c r="T31"/>
  <c r="T32" s="1"/>
  <c r="P34" l="1"/>
  <c r="P33"/>
  <c r="R33"/>
  <c r="U33"/>
  <c r="Q34"/>
  <c r="Q35" s="1"/>
  <c r="S34"/>
  <c r="S35" s="1"/>
  <c r="V34"/>
  <c r="V35" s="1"/>
  <c r="W33"/>
  <c r="W35" s="1"/>
  <c r="T33"/>
  <c r="T34"/>
  <c r="U34"/>
  <c r="U35" s="1"/>
  <c r="R34"/>
  <c r="P35" l="1"/>
  <c r="R35"/>
  <c r="T35"/>
  <c r="F5" i="12"/>
  <c r="G5" s="1"/>
  <c r="H5" s="1"/>
  <c r="H6" s="1"/>
  <c r="M37" i="8" l="1"/>
  <c r="B29" s="1"/>
  <c r="F6" i="12"/>
  <c r="F7" s="1"/>
  <c r="F8" s="1"/>
  <c r="G6"/>
  <c r="I5"/>
  <c r="F9" l="1"/>
  <c r="F11" s="1"/>
  <c r="G7"/>
  <c r="G8" s="1"/>
  <c r="G10" s="1"/>
  <c r="H7"/>
  <c r="H8" s="1"/>
  <c r="H9" s="1"/>
  <c r="I6"/>
  <c r="I7" s="1"/>
  <c r="I8" s="1"/>
  <c r="J5"/>
  <c r="G9" l="1"/>
  <c r="G11" s="1"/>
  <c r="H11"/>
  <c r="H10"/>
  <c r="J6"/>
  <c r="J7" s="1"/>
  <c r="J8" s="1"/>
  <c r="I9" s="1"/>
  <c r="K5"/>
  <c r="J10" l="1"/>
  <c r="J9"/>
  <c r="K6"/>
  <c r="K7" s="1"/>
  <c r="K8" s="1"/>
  <c r="L5"/>
  <c r="L6" l="1"/>
  <c r="L7" s="1"/>
  <c r="L8" s="1"/>
  <c r="M5"/>
  <c r="J11"/>
  <c r="K10"/>
  <c r="K9"/>
  <c r="I10"/>
  <c r="I11" s="1"/>
  <c r="K11" l="1"/>
  <c r="M6"/>
  <c r="M7" s="1"/>
  <c r="M8" s="1"/>
  <c r="L9" s="1"/>
  <c r="N5"/>
  <c r="N6" s="1"/>
  <c r="N7" l="1"/>
  <c r="N8" s="1"/>
  <c r="L10" s="1"/>
  <c r="L11" s="1"/>
  <c r="M10"/>
  <c r="M9"/>
  <c r="N10" l="1"/>
  <c r="N9"/>
  <c r="M11"/>
  <c r="N11" l="1"/>
  <c r="D13" s="1"/>
  <c r="AH45" i="11" l="1"/>
  <c r="AH39"/>
  <c r="AO52"/>
  <c r="AN52"/>
  <c r="AG44"/>
  <c r="AG46"/>
  <c r="AI52"/>
  <c r="AI54" s="1"/>
  <c r="AJ40"/>
  <c r="AJ41"/>
  <c r="AJ42"/>
  <c r="AJ43"/>
  <c r="AJ45"/>
  <c r="AJ47"/>
  <c r="AJ48"/>
  <c r="AJ39"/>
  <c r="AH52" l="1"/>
  <c r="AH54" s="1"/>
  <c r="AH55" s="1"/>
  <c r="AG52"/>
  <c r="AG54" s="1"/>
  <c r="AJ52"/>
  <c r="Z52" l="1"/>
  <c r="AF40"/>
  <c r="AF41"/>
  <c r="AF42"/>
  <c r="AF43"/>
  <c r="AF45"/>
  <c r="AF47"/>
  <c r="AF48"/>
  <c r="AF39"/>
  <c r="AA52"/>
  <c r="X52"/>
  <c r="W52"/>
  <c r="S45"/>
  <c r="Q45"/>
  <c r="P45"/>
  <c r="O45"/>
  <c r="AF52" l="1"/>
  <c r="Y52"/>
  <c r="R45"/>
  <c r="U45" s="1"/>
  <c r="V45" l="1"/>
  <c r="AB45"/>
  <c r="AC45"/>
  <c r="S51"/>
  <c r="Q51"/>
  <c r="P51"/>
  <c r="O51"/>
  <c r="S50"/>
  <c r="Q50"/>
  <c r="P50"/>
  <c r="O50"/>
  <c r="S48"/>
  <c r="P48"/>
  <c r="S47"/>
  <c r="P47"/>
  <c r="Q48"/>
  <c r="O48"/>
  <c r="Q47"/>
  <c r="O47"/>
  <c r="S43"/>
  <c r="Q43"/>
  <c r="P43"/>
  <c r="O43"/>
  <c r="S42"/>
  <c r="Q42"/>
  <c r="P42"/>
  <c r="O42"/>
  <c r="S41"/>
  <c r="S40"/>
  <c r="S39"/>
  <c r="D40"/>
  <c r="D41" s="1"/>
  <c r="D42" s="1"/>
  <c r="D43" s="1"/>
  <c r="D50" s="1"/>
  <c r="D51" s="1"/>
  <c r="Q41"/>
  <c r="P41"/>
  <c r="O41"/>
  <c r="Q40"/>
  <c r="P40"/>
  <c r="O40"/>
  <c r="Q39"/>
  <c r="P39"/>
  <c r="O39"/>
  <c r="AK45" l="1"/>
  <c r="R39"/>
  <c r="U39" s="1"/>
  <c r="AB39" s="1"/>
  <c r="R43"/>
  <c r="U43" s="1"/>
  <c r="AB43" s="1"/>
  <c r="R51"/>
  <c r="U51" s="1"/>
  <c r="R50"/>
  <c r="U50" s="1"/>
  <c r="R48"/>
  <c r="U48" s="1"/>
  <c r="AB48" s="1"/>
  <c r="R47"/>
  <c r="U47" s="1"/>
  <c r="AB47" s="1"/>
  <c r="R41"/>
  <c r="U41" s="1"/>
  <c r="AB41" s="1"/>
  <c r="R42"/>
  <c r="U42" s="1"/>
  <c r="AB42" s="1"/>
  <c r="R40"/>
  <c r="U40" s="1"/>
  <c r="AB40" s="1"/>
  <c r="AB52" l="1"/>
  <c r="AC40"/>
  <c r="V40"/>
  <c r="V47"/>
  <c r="AC47"/>
  <c r="AC39"/>
  <c r="V39"/>
  <c r="V41"/>
  <c r="AC41"/>
  <c r="AC43"/>
  <c r="V43"/>
  <c r="AC42"/>
  <c r="V42"/>
  <c r="AC48"/>
  <c r="V48"/>
  <c r="AC51"/>
  <c r="AE51" s="1"/>
  <c r="V51"/>
  <c r="AC50"/>
  <c r="AE50" s="1"/>
  <c r="V50"/>
  <c r="AM52" l="1"/>
  <c r="AM54" s="1"/>
  <c r="AK42"/>
  <c r="AL42"/>
  <c r="AK48"/>
  <c r="AL48"/>
  <c r="AK43"/>
  <c r="AL43"/>
  <c r="AK39"/>
  <c r="AL39"/>
  <c r="AK40"/>
  <c r="AL40"/>
  <c r="AK41"/>
  <c r="AL41"/>
  <c r="AK47"/>
  <c r="AL47"/>
  <c r="AD50"/>
  <c r="AF50" s="1"/>
  <c r="W50"/>
  <c r="AD51"/>
  <c r="AF51" s="1"/>
  <c r="W51"/>
  <c r="AC52"/>
  <c r="V52"/>
  <c r="AL52" l="1"/>
  <c r="AI56" s="1"/>
  <c r="AK52"/>
  <c r="AI55" s="1"/>
  <c r="X50"/>
  <c r="AA50" s="1"/>
  <c r="Z50"/>
  <c r="X51"/>
  <c r="AA51" s="1"/>
  <c r="Z51"/>
  <c r="Y50" l="1"/>
  <c r="AB50" s="1"/>
  <c r="AI57"/>
  <c r="AI58" s="1"/>
  <c r="Y51"/>
  <c r="AB51" s="1"/>
  <c r="R9" i="8"/>
  <c r="S15" s="1"/>
</calcChain>
</file>

<file path=xl/sharedStrings.xml><?xml version="1.0" encoding="utf-8"?>
<sst xmlns="http://schemas.openxmlformats.org/spreadsheetml/2006/main" count="220" uniqueCount="140">
  <si>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</si>
  <si>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</si>
  <si>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</si>
  <si>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</si>
  <si>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</si>
  <si>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</si>
  <si>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</si>
  <si>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</si>
  <si>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</si>
  <si>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</si>
  <si>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</si>
  <si>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</si>
  <si>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</si>
  <si>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</si>
  <si>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</si>
  <si>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</si>
  <si>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</si>
  <si>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</si>
  <si>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</si>
  <si>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</si>
  <si>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 xml:space="preserve">Total </t>
  </si>
  <si>
    <t>-</t>
  </si>
  <si>
    <t>RENCANA ANGGARAN BIAYA PEKERJAAN</t>
  </si>
  <si>
    <t>MATERIAL</t>
  </si>
  <si>
    <t>Hari</t>
  </si>
  <si>
    <t>bh</t>
  </si>
  <si>
    <t>Dokumentasi</t>
  </si>
  <si>
    <t>Total</t>
  </si>
  <si>
    <t>No</t>
  </si>
  <si>
    <t>Vol</t>
  </si>
  <si>
    <t xml:space="preserve">Terbilang : </t>
  </si>
  <si>
    <t>Disetujui oleh :</t>
  </si>
  <si>
    <t>BREAKDOWN</t>
  </si>
  <si>
    <t>Kadiv. Transmisi Distribusi</t>
  </si>
  <si>
    <t>ltr</t>
  </si>
  <si>
    <t>TOTAL</t>
  </si>
  <si>
    <t>Pengecatan</t>
  </si>
  <si>
    <t>Kadiv. Perencanaan Air Minum</t>
  </si>
  <si>
    <t>Muhri Fepri Iswanto</t>
  </si>
  <si>
    <t>Julfan Fadhli</t>
  </si>
  <si>
    <t>Pengecatan Tangki Solar</t>
  </si>
  <si>
    <t>dt</t>
  </si>
  <si>
    <t>: diameter manhole</t>
  </si>
  <si>
    <t>tt</t>
  </si>
  <si>
    <t>: tinggi manhole</t>
  </si>
  <si>
    <t>D</t>
  </si>
  <si>
    <t>: diameter tangki utama</t>
  </si>
  <si>
    <t>P</t>
  </si>
  <si>
    <t>: panjang tangki utama</t>
  </si>
  <si>
    <t>: tinggi / panjang kaki</t>
  </si>
  <si>
    <t>Lk</t>
  </si>
  <si>
    <t>: lebar kaki</t>
  </si>
  <si>
    <t>Booster</t>
  </si>
  <si>
    <t>Luas permukaan Tangki</t>
  </si>
  <si>
    <t>= (∏.dt.tt) +  (∏.(½.dt)²)</t>
  </si>
  <si>
    <t>=  (∏.D.P) +  2 (∏(½ D)²)</t>
  </si>
  <si>
    <t>Luasan kaki - profil H</t>
  </si>
  <si>
    <t>pk</t>
  </si>
  <si>
    <t>tp</t>
  </si>
  <si>
    <t>: tebal profil kaki</t>
  </si>
  <si>
    <t>=  4 ((2.pk.Lk) + (4.pk.tp))</t>
  </si>
  <si>
    <t>Luas permukaan manhole</t>
  </si>
  <si>
    <t>Tangki</t>
  </si>
  <si>
    <t>Kaki</t>
  </si>
  <si>
    <t>M Hol</t>
  </si>
  <si>
    <t>Luas Permukaan (m²)</t>
  </si>
  <si>
    <t>Pasar 4</t>
  </si>
  <si>
    <t>Sejarah</t>
  </si>
  <si>
    <t>Gaperta</t>
  </si>
  <si>
    <t>* satuan dalam meter</t>
  </si>
  <si>
    <t>Volume : pi.r.r.P</t>
  </si>
  <si>
    <t>L B Klewang</t>
  </si>
  <si>
    <t>Tuasan</t>
  </si>
  <si>
    <t>Garu</t>
  </si>
  <si>
    <t>Cemara</t>
  </si>
  <si>
    <t>Marelan</t>
  </si>
  <si>
    <t>model oval</t>
  </si>
  <si>
    <t>Luas Elips</t>
  </si>
  <si>
    <t>=  ∏.½D.½T</t>
  </si>
  <si>
    <t>T</t>
  </si>
  <si>
    <t>=  (∏.(½ D+½T) . P ) + (∏.½D.½T)</t>
  </si>
  <si>
    <t>underground</t>
  </si>
  <si>
    <t>Medan Denai</t>
  </si>
  <si>
    <t>Sei Agul</t>
  </si>
  <si>
    <t>6000x2</t>
  </si>
  <si>
    <t>Vol Cn</t>
  </si>
  <si>
    <t>model berdiri</t>
  </si>
  <si>
    <t>Sikat Besi</t>
  </si>
  <si>
    <t>Luas</t>
  </si>
  <si>
    <t>Kebutuhan</t>
  </si>
  <si>
    <t>Cat (kg)</t>
  </si>
  <si>
    <t>Amplas</t>
  </si>
  <si>
    <t>(lembar)</t>
  </si>
  <si>
    <t>Pelaksanaan (hari)</t>
  </si>
  <si>
    <t>Persiapan</t>
  </si>
  <si>
    <t>Kuas 2"</t>
  </si>
  <si>
    <t>Ember hitam dia. 30 cm</t>
  </si>
  <si>
    <t>Kain Lap</t>
  </si>
  <si>
    <t>(buah)</t>
  </si>
  <si>
    <t>Kuas 5"</t>
  </si>
  <si>
    <t>Tangga</t>
  </si>
  <si>
    <t>(bh)</t>
  </si>
  <si>
    <t>Rinso</t>
  </si>
  <si>
    <t>(sachet)</t>
  </si>
  <si>
    <t>Sabut</t>
  </si>
  <si>
    <t>cuci</t>
  </si>
  <si>
    <t>Kertas Amplas no.400</t>
  </si>
  <si>
    <t xml:space="preserve">Skrap / Kape </t>
  </si>
  <si>
    <t>Skrap</t>
  </si>
  <si>
    <t>lbr</t>
  </si>
  <si>
    <t xml:space="preserve">Cat kilat Bee Brand 1000
</t>
  </si>
  <si>
    <t>Thinner Cobra</t>
  </si>
  <si>
    <t>Thiner</t>
  </si>
  <si>
    <t>amplas</t>
  </si>
  <si>
    <t>Bodelac</t>
  </si>
  <si>
    <t>3,5 kg</t>
  </si>
  <si>
    <t>1 Kg</t>
  </si>
  <si>
    <t>Sikat</t>
  </si>
  <si>
    <t>Besi</t>
  </si>
  <si>
    <t>ember</t>
  </si>
  <si>
    <t>Tanda</t>
  </si>
  <si>
    <t>Terima</t>
  </si>
  <si>
    <t>BOOSTER</t>
  </si>
  <si>
    <t>Luas Pipa</t>
  </si>
  <si>
    <t>Kuas</t>
  </si>
  <si>
    <t>5"</t>
  </si>
  <si>
    <t>2"</t>
  </si>
  <si>
    <t xml:space="preserve">Jumlah </t>
  </si>
  <si>
    <t>Rupiah</t>
  </si>
  <si>
    <t>Nurleli</t>
  </si>
  <si>
    <t>Breakdown</t>
  </si>
  <si>
    <t>Kg</t>
  </si>
  <si>
    <t>Pekerja</t>
  </si>
  <si>
    <t>Tukang</t>
  </si>
  <si>
    <t>PENGECATAN PIPA OUTLET</t>
  </si>
  <si>
    <t>LOKASI: BOOSTER PUMP TUASAN &amp; GARU</t>
  </si>
  <si>
    <t>Panjang</t>
  </si>
  <si>
    <t>Dia (m)</t>
  </si>
  <si>
    <t>Cat (klg)</t>
  </si>
  <si>
    <t>Medan,      Oktober 2022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</si>
</sst>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_(* #,##0.0_);_(* \(#,##0.0\);_(* &quot;-&quot;_);_(@_)"/>
    <numFmt numFmtId="169" formatCode="0\ &quot;lapis&quot;"/>
    <numFmt numFmtId="170" formatCode="0.0\ &quot;lbr/m2&quot;"/>
    <numFmt numFmtId="171" formatCode="0\ &quot;m2/scht&quot;"/>
  </numFmts>
  <fonts count="37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i/>
      <sz val="12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9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186">
    <xf numFmtId="0" fontId="0" fillId="0" borderId="0" xfId="0"/>
    <xf numFmtId="165" fontId="19" fillId="0" borderId="0" xfId="28" applyFont="1"/>
    <xf numFmtId="0" fontId="22" fillId="0" borderId="0" xfId="0" applyFont="1" applyBorder="1"/>
    <xf numFmtId="165" fontId="20" fillId="0" borderId="0" xfId="0" applyNumberFormat="1" applyFont="1" applyBorder="1"/>
    <xf numFmtId="0" fontId="22" fillId="0" borderId="0" xfId="0" applyFont="1"/>
    <xf numFmtId="0" fontId="0" fillId="0" borderId="0" xfId="0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3" xfId="0" applyBorder="1"/>
    <xf numFmtId="0" fontId="31" fillId="0" borderId="0" xfId="0" applyFont="1" applyAlignment="1"/>
    <xf numFmtId="0" fontId="20" fillId="0" borderId="13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2" fillId="0" borderId="13" xfId="0" applyFont="1" applyBorder="1"/>
    <xf numFmtId="165" fontId="20" fillId="0" borderId="13" xfId="0" applyNumberFormat="1" applyFont="1" applyBorder="1"/>
    <xf numFmtId="165" fontId="22" fillId="0" borderId="13" xfId="0" applyNumberFormat="1" applyFont="1" applyBorder="1"/>
    <xf numFmtId="167" fontId="22" fillId="0" borderId="11" xfId="28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65" fontId="22" fillId="0" borderId="11" xfId="28" applyNumberFormat="1" applyFont="1" applyBorder="1"/>
    <xf numFmtId="165" fontId="22" fillId="0" borderId="11" xfId="28" applyFont="1" applyBorder="1" applyAlignment="1">
      <alignment horizontal="center"/>
    </xf>
    <xf numFmtId="0" fontId="22" fillId="0" borderId="12" xfId="0" applyFont="1" applyBorder="1"/>
    <xf numFmtId="165" fontId="22" fillId="0" borderId="17" xfId="28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43" fontId="22" fillId="0" borderId="11" xfId="28" applyNumberFormat="1" applyFont="1" applyBorder="1" applyAlignment="1">
      <alignment horizontal="right"/>
    </xf>
    <xf numFmtId="165" fontId="22" fillId="0" borderId="11" xfId="0" applyNumberFormat="1" applyFont="1" applyBorder="1"/>
    <xf numFmtId="0" fontId="22" fillId="0" borderId="11" xfId="0" applyFont="1" applyBorder="1" applyAlignment="1">
      <alignment horizontal="right"/>
    </xf>
    <xf numFmtId="43" fontId="22" fillId="0" borderId="11" xfId="28" applyNumberFormat="1" applyFont="1" applyBorder="1" applyAlignment="1">
      <alignment horizontal="center"/>
    </xf>
    <xf numFmtId="0" fontId="22" fillId="0" borderId="14" xfId="0" applyFont="1" applyBorder="1" applyAlignment="1">
      <alignment horizontal="right"/>
    </xf>
    <xf numFmtId="165" fontId="22" fillId="0" borderId="12" xfId="28" applyFont="1" applyBorder="1" applyAlignment="1">
      <alignment horizontal="left"/>
    </xf>
    <xf numFmtId="0" fontId="22" fillId="0" borderId="16" xfId="0" applyFont="1" applyBorder="1"/>
    <xf numFmtId="0" fontId="22" fillId="0" borderId="17" xfId="0" applyFont="1" applyBorder="1" applyAlignment="1"/>
    <xf numFmtId="165" fontId="23" fillId="0" borderId="10" xfId="0" applyNumberFormat="1" applyFont="1" applyBorder="1"/>
    <xf numFmtId="165" fontId="24" fillId="0" borderId="14" xfId="28" applyFont="1" applyBorder="1" applyAlignment="1">
      <alignment vertical="center"/>
    </xf>
    <xf numFmtId="165" fontId="24" fillId="0" borderId="12" xfId="28" applyFont="1" applyBorder="1" applyAlignment="1">
      <alignment vertical="center"/>
    </xf>
    <xf numFmtId="165" fontId="24" fillId="0" borderId="15" xfId="28" applyFont="1" applyBorder="1" applyAlignment="1">
      <alignment vertical="center"/>
    </xf>
    <xf numFmtId="165" fontId="24" fillId="0" borderId="16" xfId="28" applyFont="1" applyBorder="1" applyAlignment="1">
      <alignment vertical="center"/>
    </xf>
    <xf numFmtId="165" fontId="25" fillId="0" borderId="17" xfId="28" applyFont="1" applyBorder="1" applyAlignment="1">
      <alignment horizontal="center" vertical="center"/>
    </xf>
    <xf numFmtId="165" fontId="24" fillId="0" borderId="17" xfId="28" applyFont="1" applyBorder="1" applyAlignment="1">
      <alignment vertical="center"/>
    </xf>
    <xf numFmtId="165" fontId="24" fillId="0" borderId="18" xfId="28" applyFont="1" applyBorder="1" applyAlignment="1">
      <alignment vertical="center"/>
    </xf>
    <xf numFmtId="165" fontId="20" fillId="0" borderId="10" xfId="0" applyNumberFormat="1" applyFont="1" applyBorder="1"/>
    <xf numFmtId="165" fontId="23" fillId="0" borderId="0" xfId="28" applyFont="1"/>
    <xf numFmtId="165" fontId="20" fillId="0" borderId="11" xfId="0" applyNumberFormat="1" applyFont="1" applyBorder="1"/>
    <xf numFmtId="165" fontId="22" fillId="0" borderId="12" xfId="28" applyFont="1" applyBorder="1" applyAlignment="1">
      <alignment horizontal="right"/>
    </xf>
    <xf numFmtId="165" fontId="22" fillId="0" borderId="17" xfId="28" applyFont="1" applyBorder="1" applyAlignment="1">
      <alignment horizontal="right"/>
    </xf>
    <xf numFmtId="43" fontId="20" fillId="0" borderId="13" xfId="28" applyNumberFormat="1" applyFont="1" applyBorder="1" applyAlignment="1">
      <alignment horizontal="right"/>
    </xf>
    <xf numFmtId="0" fontId="22" fillId="0" borderId="10" xfId="0" applyFont="1" applyBorder="1" applyAlignment="1"/>
    <xf numFmtId="165" fontId="22" fillId="0" borderId="10" xfId="28" applyNumberFormat="1" applyFont="1" applyBorder="1"/>
    <xf numFmtId="165" fontId="20" fillId="0" borderId="10" xfId="28" applyNumberFormat="1" applyFont="1" applyBorder="1"/>
    <xf numFmtId="165" fontId="22" fillId="0" borderId="0" xfId="28" applyFont="1" applyBorder="1" applyAlignment="1">
      <alignment horizontal="right"/>
    </xf>
    <xf numFmtId="0" fontId="22" fillId="0" borderId="20" xfId="0" applyFont="1" applyBorder="1"/>
    <xf numFmtId="0" fontId="22" fillId="0" borderId="0" xfId="0" applyFont="1" applyBorder="1" applyAlignment="1"/>
    <xf numFmtId="165" fontId="22" fillId="0" borderId="0" xfId="28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5" fontId="20" fillId="0" borderId="10" xfId="28" applyFont="1" applyBorder="1"/>
    <xf numFmtId="0" fontId="20" fillId="0" borderId="13" xfId="0" applyFont="1" applyBorder="1"/>
    <xf numFmtId="0" fontId="20" fillId="0" borderId="10" xfId="0" applyFont="1" applyBorder="1"/>
    <xf numFmtId="0" fontId="26" fillId="0" borderId="0" xfId="0" applyFont="1" applyAlignment="1"/>
    <xf numFmtId="0" fontId="29" fillId="0" borderId="0" xfId="0" applyFont="1"/>
    <xf numFmtId="0" fontId="29" fillId="0" borderId="0" xfId="0" quotePrefix="1" applyFont="1"/>
    <xf numFmtId="0" fontId="29" fillId="0" borderId="19" xfId="0" quotePrefix="1" applyFont="1" applyBorder="1"/>
    <xf numFmtId="165" fontId="28" fillId="0" borderId="11" xfId="0" applyNumberFormat="1" applyFont="1" applyBorder="1"/>
    <xf numFmtId="165" fontId="22" fillId="0" borderId="11" xfId="0" applyNumberFormat="1" applyFont="1" applyBorder="1" applyAlignment="1"/>
    <xf numFmtId="0" fontId="29" fillId="0" borderId="19" xfId="0" applyFont="1" applyBorder="1" applyAlignment="1">
      <alignment horizontal="center"/>
    </xf>
    <xf numFmtId="165" fontId="20" fillId="0" borderId="11" xfId="28" applyNumberFormat="1" applyFont="1" applyBorder="1"/>
    <xf numFmtId="164" fontId="0" fillId="0" borderId="0" xfId="29" applyFont="1"/>
    <xf numFmtId="165" fontId="22" fillId="0" borderId="13" xfId="28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65" fontId="22" fillId="0" borderId="13" xfId="28" applyNumberFormat="1" applyFont="1" applyBorder="1"/>
    <xf numFmtId="165" fontId="22" fillId="0" borderId="11" xfId="28" quotePrefix="1" applyFont="1" applyBorder="1"/>
    <xf numFmtId="0" fontId="22" fillId="0" borderId="11" xfId="0" applyFont="1" applyBorder="1" applyAlignment="1">
      <alignment horizontal="center" vertical="top"/>
    </xf>
    <xf numFmtId="167" fontId="22" fillId="0" borderId="11" xfId="28" applyNumberFormat="1" applyFont="1" applyBorder="1" applyAlignment="1">
      <alignment horizontal="center" vertical="top"/>
    </xf>
    <xf numFmtId="43" fontId="22" fillId="0" borderId="11" xfId="28" applyNumberFormat="1" applyFont="1" applyBorder="1" applyAlignment="1">
      <alignment horizontal="center" vertical="top"/>
    </xf>
    <xf numFmtId="165" fontId="22" fillId="0" borderId="11" xfId="0" applyNumberFormat="1" applyFont="1" applyBorder="1" applyAlignment="1">
      <alignment vertical="top"/>
    </xf>
    <xf numFmtId="165" fontId="19" fillId="0" borderId="0" xfId="28" applyFont="1" applyAlignment="1">
      <alignment vertical="top"/>
    </xf>
    <xf numFmtId="0" fontId="21" fillId="0" borderId="15" xfId="0" applyFont="1" applyBorder="1"/>
    <xf numFmtId="0" fontId="22" fillId="0" borderId="21" xfId="0" applyFont="1" applyBorder="1"/>
    <xf numFmtId="0" fontId="22" fillId="0" borderId="21" xfId="0" applyFont="1" applyBorder="1" applyAlignment="1"/>
    <xf numFmtId="0" fontId="21" fillId="0" borderId="14" xfId="0" applyFont="1" applyBorder="1"/>
    <xf numFmtId="0" fontId="22" fillId="0" borderId="16" xfId="0" applyFont="1" applyBorder="1" applyAlignment="1"/>
    <xf numFmtId="165" fontId="25" fillId="0" borderId="17" xfId="28" applyFont="1" applyBorder="1" applyAlignment="1">
      <alignment horizontal="left" vertical="center"/>
    </xf>
    <xf numFmtId="43" fontId="22" fillId="0" borderId="12" xfId="28" applyNumberFormat="1" applyFont="1" applyBorder="1" applyAlignment="1">
      <alignment horizontal="center"/>
    </xf>
    <xf numFmtId="165" fontId="24" fillId="0" borderId="12" xfId="28" applyFont="1" applyBorder="1" applyAlignment="1">
      <alignment horizontal="center" vertical="center"/>
    </xf>
    <xf numFmtId="165" fontId="24" fillId="0" borderId="17" xfId="28" applyFont="1" applyBorder="1" applyAlignment="1">
      <alignment horizontal="center" vertical="center"/>
    </xf>
    <xf numFmtId="165" fontId="19" fillId="0" borderId="0" xfId="28" applyFont="1" applyAlignment="1">
      <alignment horizontal="center"/>
    </xf>
    <xf numFmtId="165" fontId="23" fillId="0" borderId="0" xfId="28" applyFont="1" applyAlignment="1">
      <alignment vertical="top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8" fillId="0" borderId="0" xfId="0" applyFont="1" applyFill="1" applyAlignment="1">
      <alignment horizontal="centerContinuous" vertical="center"/>
    </xf>
    <xf numFmtId="0" fontId="0" fillId="0" borderId="0" xfId="0" applyFont="1" applyAlignment="1">
      <alignment horizontal="left" vertical="top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/>
    </xf>
    <xf numFmtId="0" fontId="14" fillId="0" borderId="19" xfId="0" applyFont="1" applyBorder="1" applyAlignment="1">
      <alignment horizontal="center"/>
    </xf>
    <xf numFmtId="2" fontId="0" fillId="0" borderId="19" xfId="0" applyNumberFormat="1" applyBorder="1"/>
    <xf numFmtId="0" fontId="14" fillId="0" borderId="24" xfId="0" applyFont="1" applyBorder="1" applyAlignment="1">
      <alignment horizontal="centerContinuous"/>
    </xf>
    <xf numFmtId="0" fontId="0" fillId="0" borderId="2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29" fillId="0" borderId="16" xfId="0" applyFont="1" applyBorder="1"/>
    <xf numFmtId="0" fontId="0" fillId="0" borderId="18" xfId="0" applyBorder="1"/>
    <xf numFmtId="0" fontId="29" fillId="0" borderId="24" xfId="0" applyFont="1" applyBorder="1"/>
    <xf numFmtId="0" fontId="33" fillId="0" borderId="0" xfId="0" applyFont="1"/>
    <xf numFmtId="1" fontId="0" fillId="0" borderId="19" xfId="0" applyNumberFormat="1" applyBorder="1"/>
    <xf numFmtId="0" fontId="29" fillId="0" borderId="25" xfId="0" applyFont="1" applyBorder="1"/>
    <xf numFmtId="0" fontId="0" fillId="0" borderId="25" xfId="0" applyBorder="1"/>
    <xf numFmtId="0" fontId="0" fillId="0" borderId="17" xfId="0" applyBorder="1"/>
    <xf numFmtId="0" fontId="14" fillId="0" borderId="25" xfId="0" applyFont="1" applyBorder="1" applyAlignment="1">
      <alignment horizontal="centerContinuous"/>
    </xf>
    <xf numFmtId="0" fontId="34" fillId="0" borderId="25" xfId="0" applyFont="1" applyBorder="1" applyAlignment="1">
      <alignment horizontal="left"/>
    </xf>
    <xf numFmtId="0" fontId="14" fillId="0" borderId="19" xfId="0" applyFont="1" applyFill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168" fontId="0" fillId="0" borderId="19" xfId="29" applyNumberFormat="1" applyFont="1" applyBorder="1"/>
    <xf numFmtId="164" fontId="0" fillId="0" borderId="19" xfId="29" applyNumberFormat="1" applyFont="1" applyBorder="1"/>
    <xf numFmtId="164" fontId="14" fillId="0" borderId="19" xfId="0" applyNumberFormat="1" applyFont="1" applyBorder="1"/>
    <xf numFmtId="169" fontId="3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8" fontId="14" fillId="0" borderId="19" xfId="0" applyNumberFormat="1" applyFont="1" applyBorder="1"/>
    <xf numFmtId="171" fontId="0" fillId="0" borderId="0" xfId="0" applyNumberFormat="1" applyAlignment="1">
      <alignment horizontal="center"/>
    </xf>
    <xf numFmtId="164" fontId="0" fillId="0" borderId="0" xfId="0" applyNumberFormat="1"/>
    <xf numFmtId="0" fontId="14" fillId="0" borderId="2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4" fontId="0" fillId="0" borderId="0" xfId="29" applyNumberFormat="1" applyFont="1" applyBorder="1"/>
    <xf numFmtId="0" fontId="0" fillId="0" borderId="13" xfId="0" applyBorder="1" applyAlignment="1">
      <alignment horizontal="center"/>
    </xf>
    <xf numFmtId="164" fontId="14" fillId="0" borderId="24" xfId="0" applyNumberFormat="1" applyFont="1" applyBorder="1"/>
    <xf numFmtId="164" fontId="0" fillId="0" borderId="19" xfId="0" applyNumberFormat="1" applyBorder="1"/>
    <xf numFmtId="164" fontId="14" fillId="0" borderId="19" xfId="0" applyNumberFormat="1" applyFont="1" applyFill="1" applyBorder="1"/>
    <xf numFmtId="0" fontId="0" fillId="0" borderId="13" xfId="0" applyBorder="1"/>
    <xf numFmtId="0" fontId="0" fillId="0" borderId="19" xfId="0" applyFill="1" applyBorder="1"/>
    <xf numFmtId="0" fontId="14" fillId="0" borderId="13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164" fontId="14" fillId="0" borderId="0" xfId="29" applyNumberFormat="1" applyFont="1" applyBorder="1"/>
    <xf numFmtId="164" fontId="19" fillId="0" borderId="0" xfId="29" applyFont="1"/>
    <xf numFmtId="164" fontId="23" fillId="0" borderId="0" xfId="29" applyFont="1"/>
    <xf numFmtId="166" fontId="23" fillId="0" borderId="0" xfId="28" applyNumberFormat="1" applyFont="1"/>
    <xf numFmtId="165" fontId="28" fillId="0" borderId="0" xfId="28" applyFont="1"/>
    <xf numFmtId="165" fontId="28" fillId="0" borderId="0" xfId="28" applyFont="1" applyAlignment="1">
      <alignment horizontal="center"/>
    </xf>
    <xf numFmtId="164" fontId="23" fillId="0" borderId="19" xfId="29" applyFont="1" applyBorder="1"/>
    <xf numFmtId="165" fontId="23" fillId="0" borderId="19" xfId="28" applyFont="1" applyBorder="1"/>
    <xf numFmtId="166" fontId="23" fillId="0" borderId="19" xfId="28" applyNumberFormat="1" applyFont="1" applyBorder="1"/>
    <xf numFmtId="165" fontId="28" fillId="0" borderId="19" xfId="28" applyFont="1" applyBorder="1"/>
    <xf numFmtId="166" fontId="28" fillId="0" borderId="19" xfId="28" applyNumberFormat="1" applyFont="1" applyBorder="1"/>
    <xf numFmtId="164" fontId="35" fillId="0" borderId="0" xfId="44" applyFont="1"/>
    <xf numFmtId="0" fontId="2" fillId="0" borderId="0" xfId="45"/>
    <xf numFmtId="0" fontId="35" fillId="0" borderId="0" xfId="45" applyFont="1"/>
    <xf numFmtId="164" fontId="2" fillId="0" borderId="0" xfId="45" applyNumberFormat="1"/>
    <xf numFmtId="164" fontId="35" fillId="24" borderId="0" xfId="44" applyFont="1" applyFill="1"/>
    <xf numFmtId="0" fontId="35" fillId="24" borderId="0" xfId="45" applyFont="1" applyFill="1" applyAlignment="1"/>
    <xf numFmtId="0" fontId="1" fillId="24" borderId="0" xfId="45" applyFont="1" applyFill="1" applyAlignment="1"/>
    <xf numFmtId="164" fontId="1" fillId="24" borderId="0" xfId="45" applyNumberFormat="1" applyFont="1" applyFill="1" applyAlignment="1"/>
    <xf numFmtId="0" fontId="22" fillId="0" borderId="0" xfId="0" applyFont="1" applyAlignment="1">
      <alignment horizontal="center"/>
    </xf>
    <xf numFmtId="165" fontId="23" fillId="0" borderId="0" xfId="28" applyFont="1" applyAlignment="1">
      <alignment horizontal="center"/>
    </xf>
    <xf numFmtId="165" fontId="23" fillId="0" borderId="19" xfId="28" applyFont="1" applyBorder="1" applyAlignment="1">
      <alignment horizontal="center"/>
    </xf>
    <xf numFmtId="0" fontId="20" fillId="0" borderId="0" xfId="0" applyFont="1" applyAlignment="1">
      <alignment horizontal="center"/>
    </xf>
    <xf numFmtId="165" fontId="23" fillId="0" borderId="19" xfId="28" applyFont="1" applyBorder="1" applyAlignment="1">
      <alignment horizontal="center"/>
    </xf>
    <xf numFmtId="164" fontId="35" fillId="0" borderId="0" xfId="44" applyFont="1" applyFill="1"/>
    <xf numFmtId="0" fontId="2" fillId="0" borderId="0" xfId="45" applyFill="1"/>
    <xf numFmtId="165" fontId="19" fillId="0" borderId="0" xfId="28" applyFont="1" applyFill="1"/>
    <xf numFmtId="164" fontId="19" fillId="0" borderId="0" xfId="29" applyFont="1" applyFill="1"/>
    <xf numFmtId="165" fontId="19" fillId="0" borderId="0" xfId="28" applyFont="1" applyFill="1" applyAlignment="1">
      <alignment horizontal="center"/>
    </xf>
    <xf numFmtId="165" fontId="23" fillId="0" borderId="0" xfId="28" applyFont="1" applyFill="1"/>
    <xf numFmtId="164" fontId="23" fillId="0" borderId="10" xfId="29" applyFont="1" applyBorder="1"/>
    <xf numFmtId="165" fontId="23" fillId="0" borderId="10" xfId="28" applyFont="1" applyBorder="1"/>
    <xf numFmtId="165" fontId="23" fillId="0" borderId="10" xfId="28" applyFont="1" applyBorder="1" applyAlignment="1">
      <alignment horizontal="center"/>
    </xf>
    <xf numFmtId="166" fontId="23" fillId="0" borderId="10" xfId="28" applyNumberFormat="1" applyFont="1" applyBorder="1"/>
    <xf numFmtId="165" fontId="28" fillId="0" borderId="22" xfId="28" applyFont="1" applyBorder="1" applyAlignment="1">
      <alignment horizontal="center"/>
    </xf>
    <xf numFmtId="164" fontId="28" fillId="0" borderId="22" xfId="29" applyFont="1" applyBorder="1" applyAlignment="1">
      <alignment horizontal="center"/>
    </xf>
    <xf numFmtId="164" fontId="36" fillId="0" borderId="0" xfId="29" applyFont="1"/>
    <xf numFmtId="165" fontId="23" fillId="0" borderId="24" xfId="28" applyFont="1" applyBorder="1" applyAlignment="1"/>
    <xf numFmtId="165" fontId="23" fillId="0" borderId="23" xfId="28" applyFont="1" applyBorder="1" applyAlignment="1"/>
    <xf numFmtId="165" fontId="23" fillId="0" borderId="25" xfId="28" applyFont="1" applyBorder="1" applyAlignment="1"/>
    <xf numFmtId="0" fontId="14" fillId="0" borderId="24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0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5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127324</xdr:colOff>
      <xdr:row>16</xdr:row>
      <xdr:rowOff>8046</xdr:rowOff>
    </xdr:from>
    <xdr:to>
      <xdr:col>7</xdr:col>
      <xdr:colOff>394024</xdr:colOff>
      <xdr:row>19</xdr:row>
      <xdr:rowOff>73714</xdr:rowOff>
    </xdr:to>
    <xdr:sp macro="" textlink="">
      <xdr:nvSpPr>
        <xdr:cNvPr id="34" name="Rectangle 33"/>
        <xdr:cNvSpPr/>
      </xdr:nvSpPr>
      <xdr:spPr>
        <a:xfrm rot="1653705">
          <a:off x="2880049" y="2922696"/>
          <a:ext cx="266700" cy="63716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266700</xdr:colOff>
      <xdr:row>7</xdr:row>
      <xdr:rowOff>114300</xdr:rowOff>
    </xdr:from>
    <xdr:to>
      <xdr:col>9</xdr:col>
      <xdr:colOff>152400</xdr:colOff>
      <xdr:row>11</xdr:row>
      <xdr:rowOff>161925</xdr:rowOff>
    </xdr:to>
    <xdr:sp macro="" textlink="">
      <xdr:nvSpPr>
        <xdr:cNvPr id="2" name="Flowchart: Direct Access Storage 1"/>
        <xdr:cNvSpPr/>
      </xdr:nvSpPr>
      <xdr:spPr>
        <a:xfrm>
          <a:off x="4867275" y="2647950"/>
          <a:ext cx="1933575" cy="809625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142875</xdr:colOff>
      <xdr:row>11</xdr:row>
      <xdr:rowOff>180975</xdr:rowOff>
    </xdr:from>
    <xdr:to>
      <xdr:col>8</xdr:col>
      <xdr:colOff>57150</xdr:colOff>
      <xdr:row>12</xdr:row>
      <xdr:rowOff>142875</xdr:rowOff>
    </xdr:to>
    <xdr:sp macro="" textlink="">
      <xdr:nvSpPr>
        <xdr:cNvPr id="3" name="Flowchart: Data 2"/>
        <xdr:cNvSpPr/>
      </xdr:nvSpPr>
      <xdr:spPr>
        <a:xfrm>
          <a:off x="5972175" y="3476625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123823</xdr:colOff>
      <xdr:row>11</xdr:row>
      <xdr:rowOff>180974</xdr:rowOff>
    </xdr:from>
    <xdr:to>
      <xdr:col>9</xdr:col>
      <xdr:colOff>28574</xdr:colOff>
      <xdr:row>12</xdr:row>
      <xdr:rowOff>133349</xdr:rowOff>
    </xdr:to>
    <xdr:sp macro="" textlink="">
      <xdr:nvSpPr>
        <xdr:cNvPr id="4" name="Flowchart: Data 3"/>
        <xdr:cNvSpPr/>
      </xdr:nvSpPr>
      <xdr:spPr>
        <a:xfrm flipH="1">
          <a:off x="6362698" y="3476624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</xdr:colOff>
      <xdr:row>12</xdr:row>
      <xdr:rowOff>1</xdr:rowOff>
    </xdr:from>
    <xdr:to>
      <xdr:col>5</xdr:col>
      <xdr:colOff>352425</xdr:colOff>
      <xdr:row>12</xdr:row>
      <xdr:rowOff>152401</xdr:rowOff>
    </xdr:to>
    <xdr:sp macro="" textlink="">
      <xdr:nvSpPr>
        <xdr:cNvPr id="5" name="Flowchart: Data 4"/>
        <xdr:cNvSpPr/>
      </xdr:nvSpPr>
      <xdr:spPr>
        <a:xfrm>
          <a:off x="5038725" y="3486151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9523</xdr:colOff>
      <xdr:row>12</xdr:row>
      <xdr:rowOff>0</xdr:rowOff>
    </xdr:from>
    <xdr:to>
      <xdr:col>6</xdr:col>
      <xdr:colOff>323849</xdr:colOff>
      <xdr:row>12</xdr:row>
      <xdr:rowOff>142875</xdr:rowOff>
    </xdr:to>
    <xdr:sp macro="" textlink="">
      <xdr:nvSpPr>
        <xdr:cNvPr id="6" name="Flowchart: Data 5"/>
        <xdr:cNvSpPr/>
      </xdr:nvSpPr>
      <xdr:spPr>
        <a:xfrm flipH="1">
          <a:off x="5429248" y="3486150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352425</xdr:colOff>
      <xdr:row>6</xdr:row>
      <xdr:rowOff>104775</xdr:rowOff>
    </xdr:from>
    <xdr:to>
      <xdr:col>7</xdr:col>
      <xdr:colOff>152400</xdr:colOff>
      <xdr:row>7</xdr:row>
      <xdr:rowOff>123825</xdr:rowOff>
    </xdr:to>
    <xdr:sp macro="" textlink="">
      <xdr:nvSpPr>
        <xdr:cNvPr id="7" name="Can 6"/>
        <xdr:cNvSpPr/>
      </xdr:nvSpPr>
      <xdr:spPr>
        <a:xfrm>
          <a:off x="5772150" y="2447925"/>
          <a:ext cx="209550" cy="20955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219075</xdr:colOff>
      <xdr:row>7</xdr:row>
      <xdr:rowOff>104775</xdr:rowOff>
    </xdr:from>
    <xdr:to>
      <xdr:col>10</xdr:col>
      <xdr:colOff>200025</xdr:colOff>
      <xdr:row>7</xdr:row>
      <xdr:rowOff>104775</xdr:rowOff>
    </xdr:to>
    <xdr:cxnSp macro="">
      <xdr:nvCxnSpPr>
        <xdr:cNvPr id="8" name="Straight Connector 7"/>
        <xdr:cNvCxnSpPr/>
      </xdr:nvCxnSpPr>
      <xdr:spPr>
        <a:xfrm>
          <a:off x="6457950" y="263842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11</xdr:row>
      <xdr:rowOff>152400</xdr:rowOff>
    </xdr:from>
    <xdr:to>
      <xdr:col>10</xdr:col>
      <xdr:colOff>190500</xdr:colOff>
      <xdr:row>11</xdr:row>
      <xdr:rowOff>152400</xdr:rowOff>
    </xdr:to>
    <xdr:cxnSp macro="">
      <xdr:nvCxnSpPr>
        <xdr:cNvPr id="9" name="Straight Connector 8"/>
        <xdr:cNvCxnSpPr/>
      </xdr:nvCxnSpPr>
      <xdr:spPr>
        <a:xfrm>
          <a:off x="6448425" y="34480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352425</xdr:colOff>
      <xdr:row>7</xdr:row>
      <xdr:rowOff>114300</xdr:rowOff>
    </xdr:from>
    <xdr:to>
      <xdr:col>9</xdr:col>
      <xdr:colOff>361950</xdr:colOff>
      <xdr:row>11</xdr:row>
      <xdr:rowOff>152400</xdr:rowOff>
    </xdr:to>
    <xdr:cxnSp macro="">
      <xdr:nvCxnSpPr>
        <xdr:cNvPr id="10" name="Straight Arrow Connector 9"/>
        <xdr:cNvCxnSpPr/>
      </xdr:nvCxnSpPr>
      <xdr:spPr>
        <a:xfrm>
          <a:off x="7000875" y="2647950"/>
          <a:ext cx="9525" cy="8001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9</xdr:row>
      <xdr:rowOff>19050</xdr:rowOff>
    </xdr:from>
    <xdr:to>
      <xdr:col>10</xdr:col>
      <xdr:colOff>304800</xdr:colOff>
      <xdr:row>10</xdr:row>
      <xdr:rowOff>85725</xdr:rowOff>
    </xdr:to>
    <xdr:sp macro="" textlink="">
      <xdr:nvSpPr>
        <xdr:cNvPr id="11" name="TextBox 10"/>
        <xdr:cNvSpPr txBox="1"/>
      </xdr:nvSpPr>
      <xdr:spPr>
        <a:xfrm>
          <a:off x="7058025" y="293370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</a:t>
          </a:r>
        </a:p>
      </xdr:txBody>
    </xdr:sp>
    <xdr:clientData/>
  </xdr:twoCellAnchor>
  <xdr:twoCellAnchor>
    <xdr:from>
      <xdr:col>4</xdr:col>
      <xdr:colOff>266700</xdr:colOff>
      <xdr:row>8</xdr:row>
      <xdr:rowOff>171450</xdr:rowOff>
    </xdr:from>
    <xdr:to>
      <xdr:col>4</xdr:col>
      <xdr:colOff>266700</xdr:colOff>
      <xdr:row>10</xdr:row>
      <xdr:rowOff>128588</xdr:rowOff>
    </xdr:to>
    <xdr:cxnSp macro="">
      <xdr:nvCxnSpPr>
        <xdr:cNvPr id="12" name="Straight Connector 11"/>
        <xdr:cNvCxnSpPr/>
      </xdr:nvCxnSpPr>
      <xdr:spPr>
        <a:xfrm flipV="1">
          <a:off x="4867275" y="28956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8</xdr:row>
      <xdr:rowOff>171450</xdr:rowOff>
    </xdr:from>
    <xdr:to>
      <xdr:col>7</xdr:col>
      <xdr:colOff>314325</xdr:colOff>
      <xdr:row>10</xdr:row>
      <xdr:rowOff>128588</xdr:rowOff>
    </xdr:to>
    <xdr:cxnSp macro="">
      <xdr:nvCxnSpPr>
        <xdr:cNvPr id="13" name="Straight Connector 12"/>
        <xdr:cNvCxnSpPr/>
      </xdr:nvCxnSpPr>
      <xdr:spPr>
        <a:xfrm flipV="1">
          <a:off x="6143625" y="28956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276225</xdr:colOff>
      <xdr:row>9</xdr:row>
      <xdr:rowOff>138113</xdr:rowOff>
    </xdr:from>
    <xdr:to>
      <xdr:col>7</xdr:col>
      <xdr:colOff>327025</xdr:colOff>
      <xdr:row>9</xdr:row>
      <xdr:rowOff>161927</xdr:rowOff>
    </xdr:to>
    <xdr:cxnSp macro="">
      <xdr:nvCxnSpPr>
        <xdr:cNvPr id="14" name="Straight Arrow Connector 13"/>
        <xdr:cNvCxnSpPr>
          <a:endCxn id="2" idx="3"/>
        </xdr:cNvCxnSpPr>
      </xdr:nvCxnSpPr>
      <xdr:spPr>
        <a:xfrm flipV="1">
          <a:off x="4876800" y="3052763"/>
          <a:ext cx="1279525" cy="2381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390525</xdr:colOff>
      <xdr:row>8</xdr:row>
      <xdr:rowOff>66675</xdr:rowOff>
    </xdr:from>
    <xdr:to>
      <xdr:col>6</xdr:col>
      <xdr:colOff>285750</xdr:colOff>
      <xdr:row>9</xdr:row>
      <xdr:rowOff>133350</xdr:rowOff>
    </xdr:to>
    <xdr:sp macro="" textlink="">
      <xdr:nvSpPr>
        <xdr:cNvPr id="15" name="TextBox 14"/>
        <xdr:cNvSpPr txBox="1"/>
      </xdr:nvSpPr>
      <xdr:spPr>
        <a:xfrm>
          <a:off x="5400675" y="2790825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</a:t>
          </a:r>
        </a:p>
      </xdr:txBody>
    </xdr:sp>
    <xdr:clientData/>
  </xdr:twoCellAnchor>
  <xdr:twoCellAnchor>
    <xdr:from>
      <xdr:col>6</xdr:col>
      <xdr:colOff>342900</xdr:colOff>
      <xdr:row>4</xdr:row>
      <xdr:rowOff>161925</xdr:rowOff>
    </xdr:from>
    <xdr:to>
      <xdr:col>6</xdr:col>
      <xdr:colOff>342900</xdr:colOff>
      <xdr:row>6</xdr:row>
      <xdr:rowOff>119063</xdr:rowOff>
    </xdr:to>
    <xdr:cxnSp macro="">
      <xdr:nvCxnSpPr>
        <xdr:cNvPr id="16" name="Straight Connector 15"/>
        <xdr:cNvCxnSpPr/>
      </xdr:nvCxnSpPr>
      <xdr:spPr>
        <a:xfrm flipV="1">
          <a:off x="5762625" y="212407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161925</xdr:colOff>
      <xdr:row>4</xdr:row>
      <xdr:rowOff>161925</xdr:rowOff>
    </xdr:from>
    <xdr:to>
      <xdr:col>7</xdr:col>
      <xdr:colOff>161925</xdr:colOff>
      <xdr:row>6</xdr:row>
      <xdr:rowOff>119063</xdr:rowOff>
    </xdr:to>
    <xdr:cxnSp macro="">
      <xdr:nvCxnSpPr>
        <xdr:cNvPr id="17" name="Straight Connector 16"/>
        <xdr:cNvCxnSpPr/>
      </xdr:nvCxnSpPr>
      <xdr:spPr>
        <a:xfrm flipV="1">
          <a:off x="5991225" y="212407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342900</xdr:colOff>
      <xdr:row>4</xdr:row>
      <xdr:rowOff>180975</xdr:rowOff>
    </xdr:from>
    <xdr:to>
      <xdr:col>7</xdr:col>
      <xdr:colOff>161925</xdr:colOff>
      <xdr:row>5</xdr:row>
      <xdr:rowOff>0</xdr:rowOff>
    </xdr:to>
    <xdr:cxnSp macro="">
      <xdr:nvCxnSpPr>
        <xdr:cNvPr id="18" name="Straight Arrow Connector 17"/>
        <xdr:cNvCxnSpPr/>
      </xdr:nvCxnSpPr>
      <xdr:spPr>
        <a:xfrm flipV="1">
          <a:off x="5762625" y="2143125"/>
          <a:ext cx="2286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323850</xdr:colOff>
      <xdr:row>3</xdr:row>
      <xdr:rowOff>38100</xdr:rowOff>
    </xdr:from>
    <xdr:to>
      <xdr:col>7</xdr:col>
      <xdr:colOff>219075</xdr:colOff>
      <xdr:row>4</xdr:row>
      <xdr:rowOff>104775</xdr:rowOff>
    </xdr:to>
    <xdr:sp macro="" textlink="">
      <xdr:nvSpPr>
        <xdr:cNvPr id="19" name="TextBox 18"/>
        <xdr:cNvSpPr txBox="1"/>
      </xdr:nvSpPr>
      <xdr:spPr>
        <a:xfrm>
          <a:off x="5743575" y="180975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dt</a:t>
          </a:r>
        </a:p>
      </xdr:txBody>
    </xdr:sp>
    <xdr:clientData/>
  </xdr:twoCellAnchor>
  <xdr:twoCellAnchor>
    <xdr:from>
      <xdr:col>7</xdr:col>
      <xdr:colOff>123825</xdr:colOff>
      <xdr:row>6</xdr:row>
      <xdr:rowOff>123825</xdr:rowOff>
    </xdr:from>
    <xdr:to>
      <xdr:col>9</xdr:col>
      <xdr:colOff>104775</xdr:colOff>
      <xdr:row>6</xdr:row>
      <xdr:rowOff>123825</xdr:rowOff>
    </xdr:to>
    <xdr:cxnSp macro="">
      <xdr:nvCxnSpPr>
        <xdr:cNvPr id="20" name="Straight Connector 19"/>
        <xdr:cNvCxnSpPr/>
      </xdr:nvCxnSpPr>
      <xdr:spPr>
        <a:xfrm>
          <a:off x="5953125" y="246697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6</xdr:row>
      <xdr:rowOff>123825</xdr:rowOff>
    </xdr:from>
    <xdr:to>
      <xdr:col>9</xdr:col>
      <xdr:colOff>38101</xdr:colOff>
      <xdr:row>7</xdr:row>
      <xdr:rowOff>114300</xdr:rowOff>
    </xdr:to>
    <xdr:cxnSp macro="">
      <xdr:nvCxnSpPr>
        <xdr:cNvPr id="21" name="Straight Arrow Connector 20"/>
        <xdr:cNvCxnSpPr/>
      </xdr:nvCxnSpPr>
      <xdr:spPr>
        <a:xfrm>
          <a:off x="6686550" y="246697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6</xdr:row>
      <xdr:rowOff>66675</xdr:rowOff>
    </xdr:from>
    <xdr:to>
      <xdr:col>9</xdr:col>
      <xdr:colOff>400050</xdr:colOff>
      <xdr:row>7</xdr:row>
      <xdr:rowOff>133350</xdr:rowOff>
    </xdr:to>
    <xdr:sp macro="" textlink="">
      <xdr:nvSpPr>
        <xdr:cNvPr id="22" name="TextBox 21"/>
        <xdr:cNvSpPr txBox="1"/>
      </xdr:nvSpPr>
      <xdr:spPr>
        <a:xfrm>
          <a:off x="6743700" y="240982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tt</a:t>
          </a:r>
        </a:p>
      </xdr:txBody>
    </xdr:sp>
    <xdr:clientData/>
  </xdr:twoCellAnchor>
  <xdr:twoCellAnchor>
    <xdr:from>
      <xdr:col>4</xdr:col>
      <xdr:colOff>295275</xdr:colOff>
      <xdr:row>12</xdr:row>
      <xdr:rowOff>76201</xdr:rowOff>
    </xdr:from>
    <xdr:to>
      <xdr:col>5</xdr:col>
      <xdr:colOff>60960</xdr:colOff>
      <xdr:row>14</xdr:row>
      <xdr:rowOff>104775</xdr:rowOff>
    </xdr:to>
    <xdr:cxnSp macro="">
      <xdr:nvCxnSpPr>
        <xdr:cNvPr id="23" name="Straight Connector 22"/>
        <xdr:cNvCxnSpPr>
          <a:endCxn id="5" idx="2"/>
        </xdr:cNvCxnSpPr>
      </xdr:nvCxnSpPr>
      <xdr:spPr>
        <a:xfrm flipV="1">
          <a:off x="4895850" y="3562351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12</xdr:row>
      <xdr:rowOff>66675</xdr:rowOff>
    </xdr:from>
    <xdr:to>
      <xdr:col>5</xdr:col>
      <xdr:colOff>327660</xdr:colOff>
      <xdr:row>14</xdr:row>
      <xdr:rowOff>95249</xdr:rowOff>
    </xdr:to>
    <xdr:cxnSp macro="">
      <xdr:nvCxnSpPr>
        <xdr:cNvPr id="24" name="Straight Connector 23"/>
        <xdr:cNvCxnSpPr/>
      </xdr:nvCxnSpPr>
      <xdr:spPr>
        <a:xfrm flipV="1">
          <a:off x="5162550" y="3552825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14</xdr:row>
      <xdr:rowOff>104775</xdr:rowOff>
    </xdr:from>
    <xdr:to>
      <xdr:col>5</xdr:col>
      <xdr:colOff>123825</xdr:colOff>
      <xdr:row>14</xdr:row>
      <xdr:rowOff>114300</xdr:rowOff>
    </xdr:to>
    <xdr:cxnSp macro="">
      <xdr:nvCxnSpPr>
        <xdr:cNvPr id="25" name="Straight Arrow Connector 24"/>
        <xdr:cNvCxnSpPr/>
      </xdr:nvCxnSpPr>
      <xdr:spPr>
        <a:xfrm flipV="1">
          <a:off x="1419225" y="2828925"/>
          <a:ext cx="2286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285749</xdr:colOff>
      <xdr:row>13</xdr:row>
      <xdr:rowOff>85725</xdr:rowOff>
    </xdr:from>
    <xdr:to>
      <xdr:col>5</xdr:col>
      <xdr:colOff>228599</xdr:colOff>
      <xdr:row>14</xdr:row>
      <xdr:rowOff>152400</xdr:rowOff>
    </xdr:to>
    <xdr:sp macro="" textlink="">
      <xdr:nvSpPr>
        <xdr:cNvPr id="26" name="TextBox 25"/>
        <xdr:cNvSpPr txBox="1"/>
      </xdr:nvSpPr>
      <xdr:spPr>
        <a:xfrm>
          <a:off x="1400174" y="261937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3</xdr:col>
      <xdr:colOff>238125</xdr:colOff>
      <xdr:row>12</xdr:row>
      <xdr:rowOff>0</xdr:rowOff>
    </xdr:from>
    <xdr:to>
      <xdr:col>5</xdr:col>
      <xdr:colOff>219075</xdr:colOff>
      <xdr:row>12</xdr:row>
      <xdr:rowOff>0</xdr:rowOff>
    </xdr:to>
    <xdr:cxnSp macro="">
      <xdr:nvCxnSpPr>
        <xdr:cNvPr id="27" name="Straight Connector 26"/>
        <xdr:cNvCxnSpPr/>
      </xdr:nvCxnSpPr>
      <xdr:spPr>
        <a:xfrm>
          <a:off x="4429125" y="34861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12</xdr:row>
      <xdr:rowOff>152400</xdr:rowOff>
    </xdr:from>
    <xdr:to>
      <xdr:col>5</xdr:col>
      <xdr:colOff>238125</xdr:colOff>
      <xdr:row>12</xdr:row>
      <xdr:rowOff>152400</xdr:rowOff>
    </xdr:to>
    <xdr:cxnSp macro="">
      <xdr:nvCxnSpPr>
        <xdr:cNvPr id="28" name="Straight Connector 27"/>
        <xdr:cNvCxnSpPr/>
      </xdr:nvCxnSpPr>
      <xdr:spPr>
        <a:xfrm>
          <a:off x="4448175" y="3638550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11</xdr:row>
      <xdr:rowOff>180975</xdr:rowOff>
    </xdr:from>
    <xdr:to>
      <xdr:col>3</xdr:col>
      <xdr:colOff>323851</xdr:colOff>
      <xdr:row>12</xdr:row>
      <xdr:rowOff>171450</xdr:rowOff>
    </xdr:to>
    <xdr:cxnSp macro="">
      <xdr:nvCxnSpPr>
        <xdr:cNvPr id="29" name="Straight Arrow Connector 28"/>
        <xdr:cNvCxnSpPr/>
      </xdr:nvCxnSpPr>
      <xdr:spPr>
        <a:xfrm>
          <a:off x="4514850" y="34766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380999</xdr:colOff>
      <xdr:row>11</xdr:row>
      <xdr:rowOff>123825</xdr:rowOff>
    </xdr:from>
    <xdr:to>
      <xdr:col>4</xdr:col>
      <xdr:colOff>361949</xdr:colOff>
      <xdr:row>13</xdr:row>
      <xdr:rowOff>0</xdr:rowOff>
    </xdr:to>
    <xdr:sp macro="" textlink="">
      <xdr:nvSpPr>
        <xdr:cNvPr id="30" name="TextBox 29"/>
        <xdr:cNvSpPr txBox="1"/>
      </xdr:nvSpPr>
      <xdr:spPr>
        <a:xfrm>
          <a:off x="1085849" y="22764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6</xdr:col>
      <xdr:colOff>329027</xdr:colOff>
      <xdr:row>15</xdr:row>
      <xdr:rowOff>142829</xdr:rowOff>
    </xdr:from>
    <xdr:to>
      <xdr:col>7</xdr:col>
      <xdr:colOff>217474</xdr:colOff>
      <xdr:row>19</xdr:row>
      <xdr:rowOff>141820</xdr:rowOff>
    </xdr:to>
    <xdr:sp macro="" textlink="">
      <xdr:nvSpPr>
        <xdr:cNvPr id="31" name="Flowchart: Data 30"/>
        <xdr:cNvSpPr/>
      </xdr:nvSpPr>
      <xdr:spPr>
        <a:xfrm rot="6984104" flipV="1">
          <a:off x="2440692" y="3098464"/>
          <a:ext cx="760991" cy="298022"/>
        </a:xfrm>
        <a:prstGeom prst="flowChartInputOutp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135717</xdr:colOff>
      <xdr:row>16</xdr:row>
      <xdr:rowOff>10919</xdr:rowOff>
    </xdr:from>
    <xdr:to>
      <xdr:col>6</xdr:col>
      <xdr:colOff>402417</xdr:colOff>
      <xdr:row>19</xdr:row>
      <xdr:rowOff>95908</xdr:rowOff>
    </xdr:to>
    <xdr:sp macro="" textlink="">
      <xdr:nvSpPr>
        <xdr:cNvPr id="33" name="Rectangle 32"/>
        <xdr:cNvSpPr/>
      </xdr:nvSpPr>
      <xdr:spPr>
        <a:xfrm rot="1653705">
          <a:off x="2478867" y="2925569"/>
          <a:ext cx="266700" cy="6564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333375</xdr:colOff>
      <xdr:row>19</xdr:row>
      <xdr:rowOff>57151</xdr:rowOff>
    </xdr:from>
    <xdr:to>
      <xdr:col>6</xdr:col>
      <xdr:colOff>146685</xdr:colOff>
      <xdr:row>21</xdr:row>
      <xdr:rowOff>95250</xdr:rowOff>
    </xdr:to>
    <xdr:cxnSp macro="">
      <xdr:nvCxnSpPr>
        <xdr:cNvPr id="35" name="Straight Connector 34"/>
        <xdr:cNvCxnSpPr/>
      </xdr:nvCxnSpPr>
      <xdr:spPr>
        <a:xfrm flipV="1">
          <a:off x="2266950" y="3543301"/>
          <a:ext cx="222885" cy="4190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19</xdr:row>
      <xdr:rowOff>19051</xdr:rowOff>
    </xdr:from>
    <xdr:to>
      <xdr:col>7</xdr:col>
      <xdr:colOff>108585</xdr:colOff>
      <xdr:row>21</xdr:row>
      <xdr:rowOff>114300</xdr:rowOff>
    </xdr:to>
    <xdr:cxnSp macro="">
      <xdr:nvCxnSpPr>
        <xdr:cNvPr id="36" name="Straight Connector 35"/>
        <xdr:cNvCxnSpPr/>
      </xdr:nvCxnSpPr>
      <xdr:spPr>
        <a:xfrm flipV="1">
          <a:off x="2628900" y="3505201"/>
          <a:ext cx="232410" cy="4762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371474</xdr:colOff>
      <xdr:row>20</xdr:row>
      <xdr:rowOff>76200</xdr:rowOff>
    </xdr:from>
    <xdr:to>
      <xdr:col>6</xdr:col>
      <xdr:colOff>314324</xdr:colOff>
      <xdr:row>21</xdr:row>
      <xdr:rowOff>142875</xdr:rowOff>
    </xdr:to>
    <xdr:sp macro="" textlink="">
      <xdr:nvSpPr>
        <xdr:cNvPr id="37" name="TextBox 36"/>
        <xdr:cNvSpPr txBox="1"/>
      </xdr:nvSpPr>
      <xdr:spPr>
        <a:xfrm>
          <a:off x="2305049" y="3752850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5</xdr:col>
      <xdr:colOff>323850</xdr:colOff>
      <xdr:row>21</xdr:row>
      <xdr:rowOff>123825</xdr:rowOff>
    </xdr:from>
    <xdr:to>
      <xdr:col>6</xdr:col>
      <xdr:colOff>304800</xdr:colOff>
      <xdr:row>21</xdr:row>
      <xdr:rowOff>133352</xdr:rowOff>
    </xdr:to>
    <xdr:cxnSp macro="">
      <xdr:nvCxnSpPr>
        <xdr:cNvPr id="38" name="Straight Arrow Connector 37"/>
        <xdr:cNvCxnSpPr/>
      </xdr:nvCxnSpPr>
      <xdr:spPr>
        <a:xfrm flipV="1">
          <a:off x="2257425" y="3990975"/>
          <a:ext cx="390525" cy="952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16</xdr:row>
      <xdr:rowOff>66675</xdr:rowOff>
    </xdr:from>
    <xdr:to>
      <xdr:col>6</xdr:col>
      <xdr:colOff>342900</xdr:colOff>
      <xdr:row>16</xdr:row>
      <xdr:rowOff>66675</xdr:rowOff>
    </xdr:to>
    <xdr:cxnSp macro="">
      <xdr:nvCxnSpPr>
        <xdr:cNvPr id="46" name="Straight Connector 45"/>
        <xdr:cNvCxnSpPr/>
      </xdr:nvCxnSpPr>
      <xdr:spPr>
        <a:xfrm>
          <a:off x="1885950" y="2981325"/>
          <a:ext cx="800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18</xdr:row>
      <xdr:rowOff>180975</xdr:rowOff>
    </xdr:from>
    <xdr:to>
      <xdr:col>6</xdr:col>
      <xdr:colOff>142875</xdr:colOff>
      <xdr:row>19</xdr:row>
      <xdr:rowOff>0</xdr:rowOff>
    </xdr:to>
    <xdr:cxnSp macro="">
      <xdr:nvCxnSpPr>
        <xdr:cNvPr id="47" name="Straight Connector 46"/>
        <xdr:cNvCxnSpPr/>
      </xdr:nvCxnSpPr>
      <xdr:spPr>
        <a:xfrm flipV="1">
          <a:off x="1914525" y="3476625"/>
          <a:ext cx="5715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16</xdr:row>
      <xdr:rowOff>76200</xdr:rowOff>
    </xdr:from>
    <xdr:to>
      <xdr:col>4</xdr:col>
      <xdr:colOff>390525</xdr:colOff>
      <xdr:row>19</xdr:row>
      <xdr:rowOff>0</xdr:rowOff>
    </xdr:to>
    <xdr:cxnSp macro="">
      <xdr:nvCxnSpPr>
        <xdr:cNvPr id="48" name="Straight Arrow Connector 47"/>
        <xdr:cNvCxnSpPr/>
      </xdr:nvCxnSpPr>
      <xdr:spPr>
        <a:xfrm>
          <a:off x="1914525" y="2990850"/>
          <a:ext cx="0" cy="4953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9524</xdr:colOff>
      <xdr:row>17</xdr:row>
      <xdr:rowOff>9525</xdr:rowOff>
    </xdr:from>
    <xdr:to>
      <xdr:col>5</xdr:col>
      <xdr:colOff>400049</xdr:colOff>
      <xdr:row>18</xdr:row>
      <xdr:rowOff>76200</xdr:rowOff>
    </xdr:to>
    <xdr:sp macro="" textlink="">
      <xdr:nvSpPr>
        <xdr:cNvPr id="49" name="TextBox 48"/>
        <xdr:cNvSpPr txBox="1"/>
      </xdr:nvSpPr>
      <xdr:spPr>
        <a:xfrm>
          <a:off x="1943099" y="31146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7</xdr:col>
      <xdr:colOff>333375</xdr:colOff>
      <xdr:row>15</xdr:row>
      <xdr:rowOff>95250</xdr:rowOff>
    </xdr:from>
    <xdr:to>
      <xdr:col>8</xdr:col>
      <xdr:colOff>180975</xdr:colOff>
      <xdr:row>16</xdr:row>
      <xdr:rowOff>28576</xdr:rowOff>
    </xdr:to>
    <xdr:cxnSp macro="">
      <xdr:nvCxnSpPr>
        <xdr:cNvPr id="53" name="Straight Arrow Connector 52"/>
        <xdr:cNvCxnSpPr/>
      </xdr:nvCxnSpPr>
      <xdr:spPr>
        <a:xfrm>
          <a:off x="3086100" y="2819400"/>
          <a:ext cx="257175" cy="12382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14</xdr:row>
      <xdr:rowOff>104775</xdr:rowOff>
    </xdr:from>
    <xdr:to>
      <xdr:col>8</xdr:col>
      <xdr:colOff>361950</xdr:colOff>
      <xdr:row>15</xdr:row>
      <xdr:rowOff>171450</xdr:rowOff>
    </xdr:to>
    <xdr:sp macro="" textlink="">
      <xdr:nvSpPr>
        <xdr:cNvPr id="55" name="TextBox 54"/>
        <xdr:cNvSpPr txBox="1"/>
      </xdr:nvSpPr>
      <xdr:spPr>
        <a:xfrm>
          <a:off x="3171825" y="263842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tp</a:t>
          </a:r>
        </a:p>
      </xdr:txBody>
    </xdr:sp>
    <xdr:clientData/>
  </xdr:twoCellAnchor>
  <xdr:twoCellAnchor>
    <xdr:from>
      <xdr:col>4</xdr:col>
      <xdr:colOff>266700</xdr:colOff>
      <xdr:row>28</xdr:row>
      <xdr:rowOff>28575</xdr:rowOff>
    </xdr:from>
    <xdr:to>
      <xdr:col>9</xdr:col>
      <xdr:colOff>152400</xdr:colOff>
      <xdr:row>30</xdr:row>
      <xdr:rowOff>161925</xdr:rowOff>
    </xdr:to>
    <xdr:sp macro="" textlink="">
      <xdr:nvSpPr>
        <xdr:cNvPr id="44" name="Flowchart: Direct Access Storage 43"/>
        <xdr:cNvSpPr/>
      </xdr:nvSpPr>
      <xdr:spPr>
        <a:xfrm>
          <a:off x="2057400" y="7896225"/>
          <a:ext cx="2124075" cy="514350"/>
        </a:xfrm>
        <a:prstGeom prst="flowChartMagneticDrum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142875</xdr:colOff>
      <xdr:row>30</xdr:row>
      <xdr:rowOff>180975</xdr:rowOff>
    </xdr:from>
    <xdr:to>
      <xdr:col>8</xdr:col>
      <xdr:colOff>57150</xdr:colOff>
      <xdr:row>31</xdr:row>
      <xdr:rowOff>142875</xdr:rowOff>
    </xdr:to>
    <xdr:sp macro="" textlink="">
      <xdr:nvSpPr>
        <xdr:cNvPr id="45" name="Flowchart: Data 44"/>
        <xdr:cNvSpPr/>
      </xdr:nvSpPr>
      <xdr:spPr>
        <a:xfrm>
          <a:off x="3276600" y="2333625"/>
          <a:ext cx="3619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123823</xdr:colOff>
      <xdr:row>30</xdr:row>
      <xdr:rowOff>180974</xdr:rowOff>
    </xdr:from>
    <xdr:to>
      <xdr:col>9</xdr:col>
      <xdr:colOff>28574</xdr:colOff>
      <xdr:row>31</xdr:row>
      <xdr:rowOff>133349</xdr:rowOff>
    </xdr:to>
    <xdr:sp macro="" textlink="">
      <xdr:nvSpPr>
        <xdr:cNvPr id="50" name="Flowchart: Data 49"/>
        <xdr:cNvSpPr/>
      </xdr:nvSpPr>
      <xdr:spPr>
        <a:xfrm flipH="1">
          <a:off x="3705223" y="2333624"/>
          <a:ext cx="3524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28575</xdr:colOff>
      <xdr:row>31</xdr:row>
      <xdr:rowOff>1</xdr:rowOff>
    </xdr:from>
    <xdr:to>
      <xdr:col>5</xdr:col>
      <xdr:colOff>352425</xdr:colOff>
      <xdr:row>31</xdr:row>
      <xdr:rowOff>152401</xdr:rowOff>
    </xdr:to>
    <xdr:sp macro="" textlink="">
      <xdr:nvSpPr>
        <xdr:cNvPr id="51" name="Flowchart: Data 50"/>
        <xdr:cNvSpPr/>
      </xdr:nvSpPr>
      <xdr:spPr>
        <a:xfrm>
          <a:off x="2266950" y="2343151"/>
          <a:ext cx="323850" cy="152400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9523</xdr:colOff>
      <xdr:row>31</xdr:row>
      <xdr:rowOff>0</xdr:rowOff>
    </xdr:from>
    <xdr:to>
      <xdr:col>6</xdr:col>
      <xdr:colOff>323849</xdr:colOff>
      <xdr:row>31</xdr:row>
      <xdr:rowOff>142875</xdr:rowOff>
    </xdr:to>
    <xdr:sp macro="" textlink="">
      <xdr:nvSpPr>
        <xdr:cNvPr id="52" name="Flowchart: Data 51"/>
        <xdr:cNvSpPr/>
      </xdr:nvSpPr>
      <xdr:spPr>
        <a:xfrm flipH="1">
          <a:off x="2695573" y="2343150"/>
          <a:ext cx="314326" cy="142875"/>
        </a:xfrm>
        <a:prstGeom prst="flowChartInputOutpu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209550</xdr:colOff>
      <xdr:row>27</xdr:row>
      <xdr:rowOff>9525</xdr:rowOff>
    </xdr:from>
    <xdr:to>
      <xdr:col>7</xdr:col>
      <xdr:colOff>9525</xdr:colOff>
      <xdr:row>28</xdr:row>
      <xdr:rowOff>28575</xdr:rowOff>
    </xdr:to>
    <xdr:sp macro="" textlink="">
      <xdr:nvSpPr>
        <xdr:cNvPr id="54" name="Can 53"/>
        <xdr:cNvSpPr/>
      </xdr:nvSpPr>
      <xdr:spPr>
        <a:xfrm>
          <a:off x="2895600" y="7686675"/>
          <a:ext cx="247650" cy="209550"/>
        </a:xfrm>
        <a:prstGeom prst="can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200025</xdr:colOff>
      <xdr:row>28</xdr:row>
      <xdr:rowOff>19050</xdr:rowOff>
    </xdr:from>
    <xdr:to>
      <xdr:col>10</xdr:col>
      <xdr:colOff>180975</xdr:colOff>
      <xdr:row>28</xdr:row>
      <xdr:rowOff>19050</xdr:rowOff>
    </xdr:to>
    <xdr:cxnSp macro="">
      <xdr:nvCxnSpPr>
        <xdr:cNvPr id="56" name="Straight Connector 55"/>
        <xdr:cNvCxnSpPr/>
      </xdr:nvCxnSpPr>
      <xdr:spPr>
        <a:xfrm>
          <a:off x="3781425" y="788670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30</xdr:row>
      <xdr:rowOff>152400</xdr:rowOff>
    </xdr:from>
    <xdr:to>
      <xdr:col>10</xdr:col>
      <xdr:colOff>190500</xdr:colOff>
      <xdr:row>30</xdr:row>
      <xdr:rowOff>152400</xdr:rowOff>
    </xdr:to>
    <xdr:cxnSp macro="">
      <xdr:nvCxnSpPr>
        <xdr:cNvPr id="57" name="Straight Connector 56"/>
        <xdr:cNvCxnSpPr/>
      </xdr:nvCxnSpPr>
      <xdr:spPr>
        <a:xfrm>
          <a:off x="3790950" y="23050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361950</xdr:colOff>
      <xdr:row>28</xdr:row>
      <xdr:rowOff>28575</xdr:rowOff>
    </xdr:from>
    <xdr:to>
      <xdr:col>9</xdr:col>
      <xdr:colOff>361950</xdr:colOff>
      <xdr:row>30</xdr:row>
      <xdr:rowOff>152400</xdr:rowOff>
    </xdr:to>
    <xdr:cxnSp macro="">
      <xdr:nvCxnSpPr>
        <xdr:cNvPr id="58" name="Straight Arrow Connector 57"/>
        <xdr:cNvCxnSpPr/>
      </xdr:nvCxnSpPr>
      <xdr:spPr>
        <a:xfrm>
          <a:off x="4391025" y="7896225"/>
          <a:ext cx="0" cy="5048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28</xdr:row>
      <xdr:rowOff>133350</xdr:rowOff>
    </xdr:from>
    <xdr:to>
      <xdr:col>10</xdr:col>
      <xdr:colOff>304800</xdr:colOff>
      <xdr:row>30</xdr:row>
      <xdr:rowOff>9525</xdr:rowOff>
    </xdr:to>
    <xdr:sp macro="" textlink="">
      <xdr:nvSpPr>
        <xdr:cNvPr id="59" name="TextBox 58"/>
        <xdr:cNvSpPr txBox="1"/>
      </xdr:nvSpPr>
      <xdr:spPr>
        <a:xfrm>
          <a:off x="4476750" y="8001000"/>
          <a:ext cx="3048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</a:t>
          </a:r>
        </a:p>
      </xdr:txBody>
    </xdr:sp>
    <xdr:clientData/>
  </xdr:twoCellAnchor>
  <xdr:twoCellAnchor>
    <xdr:from>
      <xdr:col>4</xdr:col>
      <xdr:colOff>266700</xdr:colOff>
      <xdr:row>28</xdr:row>
      <xdr:rowOff>133350</xdr:rowOff>
    </xdr:from>
    <xdr:to>
      <xdr:col>4</xdr:col>
      <xdr:colOff>266700</xdr:colOff>
      <xdr:row>30</xdr:row>
      <xdr:rowOff>90488</xdr:rowOff>
    </xdr:to>
    <xdr:cxnSp macro="">
      <xdr:nvCxnSpPr>
        <xdr:cNvPr id="60" name="Straight Connector 59"/>
        <xdr:cNvCxnSpPr/>
      </xdr:nvCxnSpPr>
      <xdr:spPr>
        <a:xfrm flipV="1">
          <a:off x="2057400" y="80010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28</xdr:row>
      <xdr:rowOff>104775</xdr:rowOff>
    </xdr:from>
    <xdr:to>
      <xdr:col>7</xdr:col>
      <xdr:colOff>323850</xdr:colOff>
      <xdr:row>30</xdr:row>
      <xdr:rowOff>61913</xdr:rowOff>
    </xdr:to>
    <xdr:cxnSp macro="">
      <xdr:nvCxnSpPr>
        <xdr:cNvPr id="61" name="Straight Connector 60"/>
        <xdr:cNvCxnSpPr/>
      </xdr:nvCxnSpPr>
      <xdr:spPr>
        <a:xfrm flipV="1">
          <a:off x="3457575" y="79724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29</xdr:row>
      <xdr:rowOff>95250</xdr:rowOff>
    </xdr:from>
    <xdr:to>
      <xdr:col>7</xdr:col>
      <xdr:colOff>339725</xdr:colOff>
      <xdr:row>29</xdr:row>
      <xdr:rowOff>95250</xdr:rowOff>
    </xdr:to>
    <xdr:cxnSp macro="">
      <xdr:nvCxnSpPr>
        <xdr:cNvPr id="62" name="Straight Arrow Connector 61"/>
        <xdr:cNvCxnSpPr>
          <a:stCxn id="44" idx="1"/>
          <a:endCxn id="44" idx="3"/>
        </xdr:cNvCxnSpPr>
      </xdr:nvCxnSpPr>
      <xdr:spPr>
        <a:xfrm>
          <a:off x="2057400" y="8153400"/>
          <a:ext cx="14160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28</xdr:row>
      <xdr:rowOff>133350</xdr:rowOff>
    </xdr:from>
    <xdr:to>
      <xdr:col>6</xdr:col>
      <xdr:colOff>257175</xdr:colOff>
      <xdr:row>30</xdr:row>
      <xdr:rowOff>9525</xdr:rowOff>
    </xdr:to>
    <xdr:sp macro="" textlink="">
      <xdr:nvSpPr>
        <xdr:cNvPr id="63" name="TextBox 62"/>
        <xdr:cNvSpPr txBox="1"/>
      </xdr:nvSpPr>
      <xdr:spPr>
        <a:xfrm>
          <a:off x="2600325" y="8001000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</a:t>
          </a:r>
        </a:p>
      </xdr:txBody>
    </xdr:sp>
    <xdr:clientData/>
  </xdr:twoCellAnchor>
  <xdr:twoCellAnchor>
    <xdr:from>
      <xdr:col>6</xdr:col>
      <xdr:colOff>200025</xdr:colOff>
      <xdr:row>25</xdr:row>
      <xdr:rowOff>66675</xdr:rowOff>
    </xdr:from>
    <xdr:to>
      <xdr:col>6</xdr:col>
      <xdr:colOff>200025</xdr:colOff>
      <xdr:row>27</xdr:row>
      <xdr:rowOff>23813</xdr:rowOff>
    </xdr:to>
    <xdr:cxnSp macro="">
      <xdr:nvCxnSpPr>
        <xdr:cNvPr id="64" name="Straight Connector 63"/>
        <xdr:cNvCxnSpPr/>
      </xdr:nvCxnSpPr>
      <xdr:spPr>
        <a:xfrm flipV="1">
          <a:off x="2886075" y="73628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25</xdr:row>
      <xdr:rowOff>66675</xdr:rowOff>
    </xdr:from>
    <xdr:to>
      <xdr:col>7</xdr:col>
      <xdr:colOff>19050</xdr:colOff>
      <xdr:row>27</xdr:row>
      <xdr:rowOff>23813</xdr:rowOff>
    </xdr:to>
    <xdr:cxnSp macro="">
      <xdr:nvCxnSpPr>
        <xdr:cNvPr id="65" name="Straight Connector 64"/>
        <xdr:cNvCxnSpPr/>
      </xdr:nvCxnSpPr>
      <xdr:spPr>
        <a:xfrm flipV="1">
          <a:off x="3152775" y="7362825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25</xdr:row>
      <xdr:rowOff>85725</xdr:rowOff>
    </xdr:from>
    <xdr:to>
      <xdr:col>7</xdr:col>
      <xdr:colOff>19050</xdr:colOff>
      <xdr:row>25</xdr:row>
      <xdr:rowOff>95250</xdr:rowOff>
    </xdr:to>
    <xdr:cxnSp macro="">
      <xdr:nvCxnSpPr>
        <xdr:cNvPr id="66" name="Straight Arrow Connector 65"/>
        <xdr:cNvCxnSpPr/>
      </xdr:nvCxnSpPr>
      <xdr:spPr>
        <a:xfrm flipV="1">
          <a:off x="2886075" y="738187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23</xdr:row>
      <xdr:rowOff>133350</xdr:rowOff>
    </xdr:from>
    <xdr:to>
      <xdr:col>7</xdr:col>
      <xdr:colOff>76200</xdr:colOff>
      <xdr:row>25</xdr:row>
      <xdr:rowOff>9525</xdr:rowOff>
    </xdr:to>
    <xdr:sp macro="" textlink="">
      <xdr:nvSpPr>
        <xdr:cNvPr id="67" name="TextBox 66"/>
        <xdr:cNvSpPr txBox="1"/>
      </xdr:nvSpPr>
      <xdr:spPr>
        <a:xfrm>
          <a:off x="2867025" y="7048500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dt</a:t>
          </a:r>
        </a:p>
      </xdr:txBody>
    </xdr:sp>
    <xdr:clientData/>
  </xdr:twoCellAnchor>
  <xdr:twoCellAnchor>
    <xdr:from>
      <xdr:col>6</xdr:col>
      <xdr:colOff>428625</xdr:colOff>
      <xdr:row>27</xdr:row>
      <xdr:rowOff>28575</xdr:rowOff>
    </xdr:from>
    <xdr:to>
      <xdr:col>8</xdr:col>
      <xdr:colOff>409575</xdr:colOff>
      <xdr:row>27</xdr:row>
      <xdr:rowOff>28575</xdr:rowOff>
    </xdr:to>
    <xdr:cxnSp macro="">
      <xdr:nvCxnSpPr>
        <xdr:cNvPr id="68" name="Straight Connector 67"/>
        <xdr:cNvCxnSpPr/>
      </xdr:nvCxnSpPr>
      <xdr:spPr>
        <a:xfrm>
          <a:off x="3114675" y="7705725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342900</xdr:colOff>
      <xdr:row>27</xdr:row>
      <xdr:rowOff>28575</xdr:rowOff>
    </xdr:from>
    <xdr:to>
      <xdr:col>8</xdr:col>
      <xdr:colOff>342901</xdr:colOff>
      <xdr:row>28</xdr:row>
      <xdr:rowOff>19050</xdr:rowOff>
    </xdr:to>
    <xdr:cxnSp macro="">
      <xdr:nvCxnSpPr>
        <xdr:cNvPr id="69" name="Straight Arrow Connector 68"/>
        <xdr:cNvCxnSpPr/>
      </xdr:nvCxnSpPr>
      <xdr:spPr>
        <a:xfrm>
          <a:off x="3924300" y="77057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26</xdr:row>
      <xdr:rowOff>161925</xdr:rowOff>
    </xdr:from>
    <xdr:to>
      <xdr:col>9</xdr:col>
      <xdr:colOff>257175</xdr:colOff>
      <xdr:row>28</xdr:row>
      <xdr:rowOff>38100</xdr:rowOff>
    </xdr:to>
    <xdr:sp macro="" textlink="">
      <xdr:nvSpPr>
        <xdr:cNvPr id="70" name="TextBox 69"/>
        <xdr:cNvSpPr txBox="1"/>
      </xdr:nvSpPr>
      <xdr:spPr>
        <a:xfrm>
          <a:off x="3981450" y="764857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tt</a:t>
          </a:r>
        </a:p>
      </xdr:txBody>
    </xdr:sp>
    <xdr:clientData/>
  </xdr:twoCellAnchor>
  <xdr:twoCellAnchor>
    <xdr:from>
      <xdr:col>4</xdr:col>
      <xdr:colOff>295275</xdr:colOff>
      <xdr:row>31</xdr:row>
      <xdr:rowOff>76201</xdr:rowOff>
    </xdr:from>
    <xdr:to>
      <xdr:col>5</xdr:col>
      <xdr:colOff>60960</xdr:colOff>
      <xdr:row>33</xdr:row>
      <xdr:rowOff>104775</xdr:rowOff>
    </xdr:to>
    <xdr:cxnSp macro="">
      <xdr:nvCxnSpPr>
        <xdr:cNvPr id="71" name="Straight Connector 70"/>
        <xdr:cNvCxnSpPr>
          <a:endCxn id="51" idx="2"/>
        </xdr:cNvCxnSpPr>
      </xdr:nvCxnSpPr>
      <xdr:spPr>
        <a:xfrm flipV="1">
          <a:off x="2085975" y="2419351"/>
          <a:ext cx="2133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31</xdr:row>
      <xdr:rowOff>66675</xdr:rowOff>
    </xdr:from>
    <xdr:to>
      <xdr:col>5</xdr:col>
      <xdr:colOff>327660</xdr:colOff>
      <xdr:row>33</xdr:row>
      <xdr:rowOff>95249</xdr:rowOff>
    </xdr:to>
    <xdr:cxnSp macro="">
      <xdr:nvCxnSpPr>
        <xdr:cNvPr id="72" name="Straight Connector 71"/>
        <xdr:cNvCxnSpPr/>
      </xdr:nvCxnSpPr>
      <xdr:spPr>
        <a:xfrm flipV="1">
          <a:off x="2390775" y="2409825"/>
          <a:ext cx="175260" cy="40957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304800</xdr:colOff>
      <xdr:row>33</xdr:row>
      <xdr:rowOff>104775</xdr:rowOff>
    </xdr:from>
    <xdr:to>
      <xdr:col>5</xdr:col>
      <xdr:colOff>123825</xdr:colOff>
      <xdr:row>33</xdr:row>
      <xdr:rowOff>114300</xdr:rowOff>
    </xdr:to>
    <xdr:cxnSp macro="">
      <xdr:nvCxnSpPr>
        <xdr:cNvPr id="73" name="Straight Arrow Connector 72"/>
        <xdr:cNvCxnSpPr/>
      </xdr:nvCxnSpPr>
      <xdr:spPr>
        <a:xfrm flipV="1">
          <a:off x="2095500" y="2828925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285749</xdr:colOff>
      <xdr:row>32</xdr:row>
      <xdr:rowOff>85725</xdr:rowOff>
    </xdr:from>
    <xdr:to>
      <xdr:col>5</xdr:col>
      <xdr:colOff>228599</xdr:colOff>
      <xdr:row>33</xdr:row>
      <xdr:rowOff>152400</xdr:rowOff>
    </xdr:to>
    <xdr:sp macro="" textlink="">
      <xdr:nvSpPr>
        <xdr:cNvPr id="74" name="TextBox 73"/>
        <xdr:cNvSpPr txBox="1"/>
      </xdr:nvSpPr>
      <xdr:spPr>
        <a:xfrm>
          <a:off x="2076449" y="2619375"/>
          <a:ext cx="3905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Lk</a:t>
          </a:r>
        </a:p>
      </xdr:txBody>
    </xdr:sp>
    <xdr:clientData/>
  </xdr:twoCellAnchor>
  <xdr:twoCellAnchor>
    <xdr:from>
      <xdr:col>3</xdr:col>
      <xdr:colOff>238125</xdr:colOff>
      <xdr:row>31</xdr:row>
      <xdr:rowOff>0</xdr:rowOff>
    </xdr:from>
    <xdr:to>
      <xdr:col>5</xdr:col>
      <xdr:colOff>219075</xdr:colOff>
      <xdr:row>31</xdr:row>
      <xdr:rowOff>0</xdr:rowOff>
    </xdr:to>
    <xdr:cxnSp macro="">
      <xdr:nvCxnSpPr>
        <xdr:cNvPr id="75" name="Straight Connector 74"/>
        <xdr:cNvCxnSpPr/>
      </xdr:nvCxnSpPr>
      <xdr:spPr>
        <a:xfrm>
          <a:off x="1581150" y="23431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31</xdr:row>
      <xdr:rowOff>152400</xdr:rowOff>
    </xdr:from>
    <xdr:to>
      <xdr:col>5</xdr:col>
      <xdr:colOff>238125</xdr:colOff>
      <xdr:row>31</xdr:row>
      <xdr:rowOff>152400</xdr:rowOff>
    </xdr:to>
    <xdr:cxnSp macro="">
      <xdr:nvCxnSpPr>
        <xdr:cNvPr id="76" name="Straight Connector 75"/>
        <xdr:cNvCxnSpPr/>
      </xdr:nvCxnSpPr>
      <xdr:spPr>
        <a:xfrm>
          <a:off x="1600200" y="2495550"/>
          <a:ext cx="876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30</xdr:row>
      <xdr:rowOff>180975</xdr:rowOff>
    </xdr:from>
    <xdr:to>
      <xdr:col>3</xdr:col>
      <xdr:colOff>323851</xdr:colOff>
      <xdr:row>31</xdr:row>
      <xdr:rowOff>171450</xdr:rowOff>
    </xdr:to>
    <xdr:cxnSp macro="">
      <xdr:nvCxnSpPr>
        <xdr:cNvPr id="77" name="Straight Arrow Connector 76"/>
        <xdr:cNvCxnSpPr/>
      </xdr:nvCxnSpPr>
      <xdr:spPr>
        <a:xfrm>
          <a:off x="1666875" y="2333625"/>
          <a:ext cx="1" cy="1809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380999</xdr:colOff>
      <xdr:row>30</xdr:row>
      <xdr:rowOff>123825</xdr:rowOff>
    </xdr:from>
    <xdr:to>
      <xdr:col>4</xdr:col>
      <xdr:colOff>361949</xdr:colOff>
      <xdr:row>32</xdr:row>
      <xdr:rowOff>0</xdr:rowOff>
    </xdr:to>
    <xdr:sp macro="" textlink="">
      <xdr:nvSpPr>
        <xdr:cNvPr id="78" name="TextBox 77"/>
        <xdr:cNvSpPr txBox="1"/>
      </xdr:nvSpPr>
      <xdr:spPr>
        <a:xfrm>
          <a:off x="1724024" y="2276475"/>
          <a:ext cx="4286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pk</a:t>
          </a:r>
        </a:p>
      </xdr:txBody>
    </xdr:sp>
    <xdr:clientData/>
  </xdr:twoCellAnchor>
  <xdr:twoCellAnchor>
    <xdr:from>
      <xdr:col>8</xdr:col>
      <xdr:colOff>19050</xdr:colOff>
      <xdr:row>9</xdr:row>
      <xdr:rowOff>133350</xdr:rowOff>
    </xdr:from>
    <xdr:to>
      <xdr:col>8</xdr:col>
      <xdr:colOff>19050</xdr:colOff>
      <xdr:row>11</xdr:row>
      <xdr:rowOff>90488</xdr:rowOff>
    </xdr:to>
    <xdr:cxnSp macro="">
      <xdr:nvCxnSpPr>
        <xdr:cNvPr id="84" name="Straight Connector 83"/>
        <xdr:cNvCxnSpPr/>
      </xdr:nvCxnSpPr>
      <xdr:spPr>
        <a:xfrm flipV="1">
          <a:off x="3600450" y="190500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28</xdr:row>
      <xdr:rowOff>114300</xdr:rowOff>
    </xdr:from>
    <xdr:to>
      <xdr:col>9</xdr:col>
      <xdr:colOff>161925</xdr:colOff>
      <xdr:row>30</xdr:row>
      <xdr:rowOff>71438</xdr:rowOff>
    </xdr:to>
    <xdr:cxnSp macro="">
      <xdr:nvCxnSpPr>
        <xdr:cNvPr id="85" name="Straight Connector 84"/>
        <xdr:cNvCxnSpPr/>
      </xdr:nvCxnSpPr>
      <xdr:spPr>
        <a:xfrm flipV="1">
          <a:off x="4191000" y="7981950"/>
          <a:ext cx="0" cy="3381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333375</xdr:colOff>
      <xdr:row>29</xdr:row>
      <xdr:rowOff>95250</xdr:rowOff>
    </xdr:from>
    <xdr:to>
      <xdr:col>9</xdr:col>
      <xdr:colOff>152400</xdr:colOff>
      <xdr:row>29</xdr:row>
      <xdr:rowOff>95250</xdr:rowOff>
    </xdr:to>
    <xdr:cxnSp macro="">
      <xdr:nvCxnSpPr>
        <xdr:cNvPr id="86" name="Straight Arrow Connector 85"/>
        <xdr:cNvCxnSpPr>
          <a:endCxn id="44" idx="4"/>
        </xdr:cNvCxnSpPr>
      </xdr:nvCxnSpPr>
      <xdr:spPr>
        <a:xfrm>
          <a:off x="3467100" y="8153400"/>
          <a:ext cx="7143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28</xdr:row>
      <xdr:rowOff>123825</xdr:rowOff>
    </xdr:from>
    <xdr:to>
      <xdr:col>8</xdr:col>
      <xdr:colOff>419100</xdr:colOff>
      <xdr:row>30</xdr:row>
      <xdr:rowOff>0</xdr:rowOff>
    </xdr:to>
    <xdr:sp macro="" textlink="">
      <xdr:nvSpPr>
        <xdr:cNvPr id="89" name="TextBox 88"/>
        <xdr:cNvSpPr txBox="1"/>
      </xdr:nvSpPr>
      <xdr:spPr>
        <a:xfrm>
          <a:off x="3657600" y="7991475"/>
          <a:ext cx="3429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4890</xdr:row>
      <xdr:rowOff>9525</xdr:rowOff>
    </xdr:from>
    <xdr:to>
      <xdr:col>1</xdr:col>
      <xdr:colOff>603595</xdr:colOff>
      <xdr:row>4890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4979</xdr:row>
      <xdr:rowOff>161925</xdr:rowOff>
    </xdr:from>
    <xdr:to>
      <xdr:col>1</xdr:col>
      <xdr:colOff>551398</xdr:colOff>
      <xdr:row>4979</xdr:row>
      <xdr:rowOff>191182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5034</xdr:row>
      <xdr:rowOff>0</xdr:rowOff>
    </xdr:from>
    <xdr:to>
      <xdr:col>1</xdr:col>
      <xdr:colOff>643854</xdr:colOff>
      <xdr:row>5034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4836</xdr:row>
      <xdr:rowOff>9525</xdr:rowOff>
    </xdr:from>
    <xdr:to>
      <xdr:col>1</xdr:col>
      <xdr:colOff>603595</xdr:colOff>
      <xdr:row>4836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4796</xdr:row>
      <xdr:rowOff>9525</xdr:rowOff>
    </xdr:from>
    <xdr:to>
      <xdr:col>1</xdr:col>
      <xdr:colOff>603595</xdr:colOff>
      <xdr:row>4796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5075</xdr:row>
      <xdr:rowOff>0</xdr:rowOff>
    </xdr:from>
    <xdr:to>
      <xdr:col>1</xdr:col>
      <xdr:colOff>484723</xdr:colOff>
      <xdr:row>5075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583</xdr:row>
      <xdr:rowOff>180975</xdr:rowOff>
    </xdr:from>
    <xdr:to>
      <xdr:col>1</xdr:col>
      <xdr:colOff>4476750</xdr:colOff>
      <xdr:row>586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619</xdr:row>
      <xdr:rowOff>180975</xdr:rowOff>
    </xdr:from>
    <xdr:to>
      <xdr:col>1</xdr:col>
      <xdr:colOff>4476750</xdr:colOff>
      <xdr:row>622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691</xdr:row>
      <xdr:rowOff>180975</xdr:rowOff>
    </xdr:from>
    <xdr:to>
      <xdr:col>1</xdr:col>
      <xdr:colOff>4476750</xdr:colOff>
      <xdr:row>694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655</xdr:row>
      <xdr:rowOff>180975</xdr:rowOff>
    </xdr:from>
    <xdr:to>
      <xdr:col>1</xdr:col>
      <xdr:colOff>4476750</xdr:colOff>
      <xdr:row>658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730</xdr:row>
      <xdr:rowOff>72118</xdr:rowOff>
    </xdr:from>
    <xdr:to>
      <xdr:col>1</xdr:col>
      <xdr:colOff>3333751</xdr:colOff>
      <xdr:row>731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N13"/>
  <sheetViews>
    <sheetView workbookViewId="0">
      <selection activeCell="G8" sqref="G8"/>
    </sheetView>
  </sheetViews>
  <sheetFormatPr defaultRowHeight="15"/>
  <cols>
    <col min="1" max="3" width="9.140625" style="142"/>
    <col min="4" max="4" width="15.42578125" style="142" customWidth="1"/>
    <col min="5" max="5" width="9.140625" style="142"/>
    <col min="6" max="14" width="12.85546875" style="142" customWidth="1"/>
    <col min="15" max="16384" width="9.140625" style="142"/>
  </cols>
  <sheetData>
    <row r="5" spans="4:14">
      <c r="D5" s="141">
        <v>21587119</v>
      </c>
      <c r="E5" s="142">
        <v>1</v>
      </c>
      <c r="F5" s="142">
        <f>+E5*10</f>
        <v>10</v>
      </c>
      <c r="G5" s="142">
        <f t="shared" ref="G5:N5" si="0">+F5*10</f>
        <v>100</v>
      </c>
      <c r="H5" s="142">
        <f t="shared" si="0"/>
        <v>1000</v>
      </c>
      <c r="I5" s="142">
        <f t="shared" si="0"/>
        <v>10000</v>
      </c>
      <c r="J5" s="142">
        <f t="shared" si="0"/>
        <v>100000</v>
      </c>
      <c r="K5" s="142">
        <f t="shared" si="0"/>
        <v>1000000</v>
      </c>
      <c r="L5" s="142">
        <f t="shared" si="0"/>
        <v>10000000</v>
      </c>
      <c r="M5" s="142">
        <f t="shared" si="0"/>
        <v>100000000</v>
      </c>
      <c r="N5" s="142">
        <f t="shared" si="0"/>
        <v>1000000000</v>
      </c>
    </row>
    <row r="6" spans="4:14">
      <c r="D6" s="143" t="s">
        <v>128</v>
      </c>
      <c r="E6" s="142">
        <v>0</v>
      </c>
      <c r="F6" s="144">
        <f>MOD(D5,F5)</f>
        <v>9</v>
      </c>
      <c r="G6" s="144">
        <f>MOD(D5,G5)</f>
        <v>19</v>
      </c>
      <c r="H6" s="144">
        <f>MOD(D5,H5)</f>
        <v>119</v>
      </c>
      <c r="I6" s="144">
        <f>MOD(D5,I5)</f>
        <v>7119</v>
      </c>
      <c r="J6" s="144">
        <f>MOD(D5,J5)</f>
        <v>87119</v>
      </c>
      <c r="K6" s="144">
        <f>MOD(D5,K5)</f>
        <v>587119</v>
      </c>
      <c r="L6" s="144">
        <f>MOD(D5,L5)</f>
        <v>1587119</v>
      </c>
      <c r="M6" s="144">
        <f>MOD(D5,M5)</f>
        <v>21587119</v>
      </c>
      <c r="N6" s="144">
        <f>MOD(D5,N5)</f>
        <v>21587119</v>
      </c>
    </row>
    <row r="7" spans="4:14">
      <c r="F7" s="142">
        <f t="shared" ref="F7:K7" si="1">+F6-E6</f>
        <v>9</v>
      </c>
      <c r="G7" s="142">
        <f t="shared" si="1"/>
        <v>10</v>
      </c>
      <c r="H7" s="142">
        <f t="shared" si="1"/>
        <v>100</v>
      </c>
      <c r="I7" s="142">
        <f t="shared" si="1"/>
        <v>7000</v>
      </c>
      <c r="J7" s="142">
        <f t="shared" si="1"/>
        <v>80000</v>
      </c>
      <c r="K7" s="142">
        <f t="shared" si="1"/>
        <v>500000</v>
      </c>
      <c r="L7" s="142">
        <f>+L6-K6</f>
        <v>1000000</v>
      </c>
      <c r="M7" s="142">
        <f t="shared" ref="M7:N7" si="2">+M6-L6</f>
        <v>20000000</v>
      </c>
      <c r="N7" s="142">
        <f t="shared" si="2"/>
        <v>0</v>
      </c>
    </row>
    <row r="8" spans="4:14">
      <c r="F8" s="142">
        <f t="shared" ref="F8:K8" si="3">+F7*10/F5</f>
        <v>9</v>
      </c>
      <c r="G8" s="142">
        <f t="shared" si="3"/>
        <v>1</v>
      </c>
      <c r="H8" s="142">
        <f t="shared" si="3"/>
        <v>1</v>
      </c>
      <c r="I8" s="142">
        <f t="shared" si="3"/>
        <v>7</v>
      </c>
      <c r="J8" s="142">
        <f t="shared" si="3"/>
        <v>8</v>
      </c>
      <c r="K8" s="142">
        <f t="shared" si="3"/>
        <v>5</v>
      </c>
      <c r="L8" s="142">
        <f>+L7*10/L5</f>
        <v>1</v>
      </c>
      <c r="M8" s="142">
        <f t="shared" ref="M8:N8" si="4">+M7*10/M5</f>
        <v>2</v>
      </c>
      <c r="N8" s="142">
        <f t="shared" si="4"/>
        <v>0</v>
      </c>
    </row>
    <row r="9" spans="4:14">
      <c r="F9" s="142" t="str">
        <f>IF(AND(F8&gt;0,G8&lt;&gt;1),CHOOSE(F8,"satu","dua","tiga","empat","lima","enam","tujuh","delapan","sembilan"),"")</f>
        <v/>
      </c>
      <c r="G9" s="142" t="str">
        <f>IF(G8&gt;0,CHOOSE(G8,CHOOSE(F8+1,"se","se","dua","tiga","empat","lima","enam","tujuh","delapan","sembilan"),"dua","tiga","empat","lima","enam","tujuh","delapan","sembilan"),"")</f>
        <v>sembilan</v>
      </c>
      <c r="H9" s="142" t="str">
        <f>IF(H8&gt;0,CHOOSE(H8,"se","dua","tiga","empat","lima","enam","tujuh","delapan","sembilan"),"")</f>
        <v>se</v>
      </c>
      <c r="I9" s="142" t="str">
        <f>IF(AND(I8&gt;0,J8&lt;&gt;1),CHOOSE(I8,"satu","dua","tiga","empat","lima","enam","tujuh","delapan","sembilan"),"")</f>
        <v>tujuh</v>
      </c>
      <c r="J9" s="142" t="str">
        <f>IF(J8&gt;0,CHOOSE(J8,CHOOSE(I8+1,"se","se","dua","tiga","empat","lima","enam","tujuh","delapan","sembilan"),"dua","tiga","empat","lima","enam","tujuh","delapan","sembilan"),"")</f>
        <v>delapan</v>
      </c>
      <c r="K9" s="142" t="str">
        <f>IF(K8&gt;0,CHOOSE(K8,"se","dua","tiga","empat","lima","enam","tujuh","delapan","sembilan"),"")</f>
        <v>lima</v>
      </c>
      <c r="L9" s="142" t="str">
        <f>IF(AND(L8&gt;0,M8&lt;&gt;1),CHOOSE(L8,"satu","dua","tiga","empat","lima","enam","tujuh","delapan","sembilan"),"")</f>
        <v>satu</v>
      </c>
      <c r="M9" s="142" t="str">
        <f>IF(M8&gt;0,CHOOSE(M8,CHOOSE(L8+1,"","se","dua","tiga","empat","lima","enam","tujuh","delapan","sembilan"),"dua","tiga","empat","lima","enam","tujuh","delapan","sembilan"),"")</f>
        <v>dua</v>
      </c>
      <c r="N9" s="142" t="str">
        <f>IF(N8&gt;0,CHOOSE(N8,"se","dua","tiga","empat","lima","enam","tujuh","delapan","sembilan"),"")</f>
        <v/>
      </c>
    </row>
    <row r="10" spans="4:14">
      <c r="G10" s="142" t="str">
        <f>IF(G8&gt;0,IF(AND(G8=1,F8&gt;0)," belas "," puluh "),"")</f>
        <v xml:space="preserve"> belas </v>
      </c>
      <c r="H10" s="142" t="str">
        <f>IF(H8&gt;0," ratus ","")</f>
        <v xml:space="preserve"> ratus </v>
      </c>
      <c r="I10" s="142" t="str">
        <f>IF(SUM(I8,K8)&gt;0," ribu ","")</f>
        <v xml:space="preserve"> ribu </v>
      </c>
      <c r="J10" s="142" t="str">
        <f>IF(J8&gt;0,IF(AND(J8=1,I8&gt;0)," belas "," puluh "),"")</f>
        <v xml:space="preserve"> puluh </v>
      </c>
      <c r="K10" s="142" t="str">
        <f>IF(K8&gt;0," ratus ","")</f>
        <v xml:space="preserve"> ratus </v>
      </c>
      <c r="L10" s="142" t="str">
        <f>IF(SUM(L8,N8)&gt;0," juta ","")</f>
        <v xml:space="preserve"> juta </v>
      </c>
      <c r="M10" s="142" t="str">
        <f>IF(M8&gt;0,IF(AND(M8=1,L8&gt;0)," belas "," puluh "),"")</f>
        <v xml:space="preserve"> puluh </v>
      </c>
      <c r="N10" s="142" t="str">
        <f>IF(N8&gt;0," ratus ","")</f>
        <v/>
      </c>
    </row>
    <row r="11" spans="4:14">
      <c r="F11" s="142" t="str">
        <f>CONCATENATE(F9,F4)</f>
        <v/>
      </c>
      <c r="G11" s="142" t="str">
        <f t="shared" ref="G11:N11" si="5">CONCATENATE(G9,G10)</f>
        <v xml:space="preserve">sembilan belas </v>
      </c>
      <c r="H11" s="142" t="str">
        <f t="shared" si="5"/>
        <v xml:space="preserve">se ratus </v>
      </c>
      <c r="I11" s="142" t="str">
        <f t="shared" si="5"/>
        <v xml:space="preserve">tujuh ribu </v>
      </c>
      <c r="J11" s="142" t="str">
        <f t="shared" si="5"/>
        <v xml:space="preserve">delapan puluh </v>
      </c>
      <c r="K11" s="142" t="str">
        <f t="shared" si="5"/>
        <v xml:space="preserve">lima ratus </v>
      </c>
      <c r="L11" s="142" t="str">
        <f t="shared" si="5"/>
        <v xml:space="preserve">satu juta </v>
      </c>
      <c r="M11" s="142" t="str">
        <f t="shared" si="5"/>
        <v xml:space="preserve">dua puluh </v>
      </c>
      <c r="N11" s="142" t="str">
        <f t="shared" si="5"/>
        <v/>
      </c>
    </row>
    <row r="13" spans="4:14">
      <c r="D13" s="143" t="str">
        <f>PROPER(CONCATENATE(N11,M11,L11,K11,J11,I11,H11,G11,F11,D6))</f>
        <v>Dua Puluh Satu Juta Lima Ratus Delapan Puluh Tujuh Ribu Se Ratus Sembilan Belas Rupiah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8"/>
  <sheetViews>
    <sheetView topLeftCell="D33" workbookViewId="0">
      <pane xSplit="7005" topLeftCell="AB1" activePane="topRight"/>
      <selection activeCell="AH47" sqref="AH47"/>
      <selection pane="topRight" activeCell="AG54" sqref="AG54"/>
    </sheetView>
  </sheetViews>
  <sheetFormatPr defaultColWidth="7.42578125" defaultRowHeight="15"/>
  <cols>
    <col min="35" max="35" width="10.5703125" customWidth="1"/>
  </cols>
  <sheetData>
    <row r="1" spans="1:17" ht="18.75" customHeight="1">
      <c r="A1" s="86" t="s">
        <v>32</v>
      </c>
      <c r="B1" s="86"/>
      <c r="C1" s="86"/>
      <c r="D1" s="86"/>
      <c r="E1" s="86"/>
      <c r="F1" s="86"/>
      <c r="G1" s="86"/>
      <c r="H1" s="86"/>
      <c r="I1" s="86"/>
      <c r="J1" s="87"/>
      <c r="K1" s="87"/>
      <c r="L1" s="87"/>
      <c r="M1" s="87"/>
      <c r="N1" s="87"/>
      <c r="O1" s="87"/>
      <c r="P1" s="87"/>
      <c r="Q1" s="87"/>
    </row>
    <row r="2" spans="1:17" ht="15.75" customHeight="1">
      <c r="A2" s="88" t="s">
        <v>40</v>
      </c>
      <c r="B2" s="88"/>
      <c r="C2" s="88"/>
      <c r="D2" s="88"/>
      <c r="E2" s="88"/>
      <c r="F2" s="88"/>
      <c r="G2" s="88"/>
      <c r="H2" s="88"/>
      <c r="I2" s="88"/>
      <c r="J2" s="87"/>
      <c r="K2" s="87"/>
      <c r="L2" s="87"/>
      <c r="M2" s="87"/>
      <c r="N2" s="87"/>
      <c r="O2" s="87"/>
      <c r="P2" s="87"/>
      <c r="Q2" s="87"/>
    </row>
    <row r="6" spans="1:17">
      <c r="L6" s="85" t="s">
        <v>45</v>
      </c>
      <c r="M6" t="s">
        <v>46</v>
      </c>
    </row>
    <row r="7" spans="1:17">
      <c r="L7" s="85" t="s">
        <v>47</v>
      </c>
      <c r="M7" t="s">
        <v>48</v>
      </c>
    </row>
    <row r="8" spans="1:17">
      <c r="L8" s="85" t="s">
        <v>41</v>
      </c>
      <c r="M8" t="s">
        <v>42</v>
      </c>
    </row>
    <row r="9" spans="1:17">
      <c r="L9" s="85" t="s">
        <v>43</v>
      </c>
      <c r="M9" t="s">
        <v>44</v>
      </c>
    </row>
    <row r="10" spans="1:17">
      <c r="L10" s="90" t="s">
        <v>57</v>
      </c>
      <c r="M10" t="s">
        <v>49</v>
      </c>
    </row>
    <row r="11" spans="1:17">
      <c r="L11" s="85" t="s">
        <v>50</v>
      </c>
      <c r="M11" t="s">
        <v>51</v>
      </c>
    </row>
    <row r="12" spans="1:17">
      <c r="L12" s="90" t="s">
        <v>58</v>
      </c>
      <c r="M12" s="57" t="s">
        <v>59</v>
      </c>
    </row>
    <row r="16" spans="1:17">
      <c r="K16" s="89" t="s">
        <v>53</v>
      </c>
      <c r="O16" s="58" t="s">
        <v>55</v>
      </c>
    </row>
    <row r="17" spans="10:15">
      <c r="K17" s="91" t="s">
        <v>61</v>
      </c>
      <c r="O17" s="58" t="s">
        <v>54</v>
      </c>
    </row>
    <row r="18" spans="10:15">
      <c r="K18" s="57" t="s">
        <v>56</v>
      </c>
      <c r="O18" s="58" t="s">
        <v>60</v>
      </c>
    </row>
    <row r="20" spans="10:15">
      <c r="K20" t="s">
        <v>70</v>
      </c>
    </row>
    <row r="24" spans="10:15">
      <c r="J24" s="91" t="s">
        <v>77</v>
      </c>
      <c r="N24" s="58" t="s">
        <v>78</v>
      </c>
    </row>
    <row r="25" spans="10:15">
      <c r="J25" s="89" t="s">
        <v>53</v>
      </c>
      <c r="N25" s="58" t="s">
        <v>80</v>
      </c>
    </row>
    <row r="26" spans="10:15">
      <c r="J26" s="57" t="s">
        <v>56</v>
      </c>
      <c r="N26" s="58" t="s">
        <v>60</v>
      </c>
    </row>
    <row r="36" spans="4:42">
      <c r="V36" s="114">
        <v>3</v>
      </c>
      <c r="W36" s="5"/>
      <c r="X36" s="5"/>
      <c r="Y36" s="115"/>
      <c r="Z36" s="117"/>
      <c r="AA36" s="117"/>
      <c r="AB36" s="117">
        <v>5</v>
      </c>
      <c r="AC36" s="115">
        <v>0.5</v>
      </c>
    </row>
    <row r="37" spans="4:42">
      <c r="D37" s="100" t="s">
        <v>69</v>
      </c>
      <c r="O37" s="94" t="s">
        <v>65</v>
      </c>
      <c r="P37" s="95"/>
      <c r="Q37" s="95"/>
      <c r="R37" s="96"/>
      <c r="U37" s="109" t="s">
        <v>88</v>
      </c>
      <c r="V37" s="109" t="s">
        <v>89</v>
      </c>
      <c r="W37" s="109" t="s">
        <v>99</v>
      </c>
      <c r="X37" s="109" t="s">
        <v>95</v>
      </c>
      <c r="Y37" s="109" t="s">
        <v>100</v>
      </c>
      <c r="Z37" s="109" t="s">
        <v>108</v>
      </c>
      <c r="AA37" s="109" t="s">
        <v>104</v>
      </c>
      <c r="AB37" s="109" t="s">
        <v>102</v>
      </c>
      <c r="AC37" s="109" t="s">
        <v>91</v>
      </c>
      <c r="AD37" s="170" t="s">
        <v>93</v>
      </c>
      <c r="AE37" s="171"/>
      <c r="AF37" s="172"/>
      <c r="AG37" s="120"/>
      <c r="AH37" s="120"/>
      <c r="AI37" s="109" t="s">
        <v>114</v>
      </c>
      <c r="AK37" s="128" t="s">
        <v>114</v>
      </c>
      <c r="AL37" s="126"/>
      <c r="AM37" s="126"/>
      <c r="AN37" s="122" t="s">
        <v>117</v>
      </c>
      <c r="AO37" s="122"/>
      <c r="AP37" s="129" t="s">
        <v>120</v>
      </c>
    </row>
    <row r="38" spans="4:42">
      <c r="D38" s="62" t="s">
        <v>28</v>
      </c>
      <c r="E38" s="94" t="s">
        <v>52</v>
      </c>
      <c r="F38" s="105"/>
      <c r="G38" s="8"/>
      <c r="H38" s="92" t="s">
        <v>45</v>
      </c>
      <c r="I38" s="92" t="s">
        <v>47</v>
      </c>
      <c r="J38" s="92" t="s">
        <v>41</v>
      </c>
      <c r="K38" s="92" t="s">
        <v>43</v>
      </c>
      <c r="L38" s="92" t="s">
        <v>57</v>
      </c>
      <c r="M38" s="92" t="s">
        <v>50</v>
      </c>
      <c r="N38" s="92" t="s">
        <v>58</v>
      </c>
      <c r="O38" s="92" t="s">
        <v>64</v>
      </c>
      <c r="P38" s="92" t="s">
        <v>62</v>
      </c>
      <c r="Q38" s="92" t="s">
        <v>63</v>
      </c>
      <c r="R38" s="92" t="s">
        <v>27</v>
      </c>
      <c r="S38" s="92" t="s">
        <v>29</v>
      </c>
      <c r="T38" s="107" t="s">
        <v>85</v>
      </c>
      <c r="U38" s="110" t="s">
        <v>15</v>
      </c>
      <c r="V38" s="110" t="s">
        <v>90</v>
      </c>
      <c r="W38" s="110" t="s">
        <v>98</v>
      </c>
      <c r="X38" s="110" t="s">
        <v>98</v>
      </c>
      <c r="Y38" s="110" t="s">
        <v>101</v>
      </c>
      <c r="Z38" s="110" t="s">
        <v>101</v>
      </c>
      <c r="AA38" s="110" t="s">
        <v>105</v>
      </c>
      <c r="AB38" s="110" t="s">
        <v>103</v>
      </c>
      <c r="AC38" s="110" t="s">
        <v>92</v>
      </c>
      <c r="AD38" s="107" t="s">
        <v>94</v>
      </c>
      <c r="AE38" s="107" t="s">
        <v>36</v>
      </c>
      <c r="AF38" s="107" t="s">
        <v>27</v>
      </c>
      <c r="AG38" s="119">
        <v>180</v>
      </c>
      <c r="AH38" s="119"/>
      <c r="AI38" s="110" t="s">
        <v>115</v>
      </c>
      <c r="AJ38">
        <v>3.5</v>
      </c>
      <c r="AK38" s="110" t="s">
        <v>116</v>
      </c>
      <c r="AL38" s="110" t="s">
        <v>112</v>
      </c>
      <c r="AM38" s="110" t="s">
        <v>113</v>
      </c>
      <c r="AN38" s="110" t="s">
        <v>118</v>
      </c>
      <c r="AO38" s="110" t="s">
        <v>119</v>
      </c>
      <c r="AP38" s="110" t="s">
        <v>121</v>
      </c>
    </row>
    <row r="39" spans="4:42">
      <c r="D39" s="7">
        <v>1</v>
      </c>
      <c r="E39" s="57" t="s">
        <v>66</v>
      </c>
      <c r="G39" s="8"/>
      <c r="H39" s="93">
        <v>2.2000000000000002</v>
      </c>
      <c r="I39" s="93">
        <v>4.5999999999999996</v>
      </c>
      <c r="J39" s="93">
        <v>0.5</v>
      </c>
      <c r="K39" s="93">
        <v>0.1</v>
      </c>
      <c r="L39" s="93">
        <v>0.4</v>
      </c>
      <c r="M39" s="93">
        <v>0.2</v>
      </c>
      <c r="N39" s="93">
        <v>0.15</v>
      </c>
      <c r="O39" s="93">
        <f>(3.14*J39*K39)+(3.14*(0.5*J39)^2)</f>
        <v>0.35325000000000006</v>
      </c>
      <c r="P39" s="93">
        <f>(3.14*H39*I39)+(2*3.14*(0.5*H39)^2)</f>
        <v>39.375600000000006</v>
      </c>
      <c r="Q39" s="93">
        <f xml:space="preserve"> 4*((2*L39*M39)+(4*L39*N39))</f>
        <v>1.6</v>
      </c>
      <c r="R39" s="93">
        <f>+O39+P39+Q39</f>
        <v>41.32885000000001</v>
      </c>
      <c r="S39" s="101">
        <f>3.14*(0.5*H39)^2*I39*1000</f>
        <v>17477.240000000002</v>
      </c>
      <c r="T39" s="6">
        <v>16000</v>
      </c>
      <c r="U39" s="112">
        <f>ROUNDUP(R39,0)</f>
        <v>42</v>
      </c>
      <c r="V39" s="112">
        <f>ROUNDUP(V$36*U39/8,0)</f>
        <v>16</v>
      </c>
      <c r="W39" s="112">
        <v>2</v>
      </c>
      <c r="X39" s="112">
        <v>1</v>
      </c>
      <c r="Y39" s="112">
        <v>1</v>
      </c>
      <c r="Z39" s="112">
        <v>1</v>
      </c>
      <c r="AA39" s="112">
        <v>2</v>
      </c>
      <c r="AB39" s="111">
        <f>+U39/AB$36</f>
        <v>8.4</v>
      </c>
      <c r="AC39" s="111">
        <f>+AC$36*U39</f>
        <v>21</v>
      </c>
      <c r="AD39" s="112">
        <v>3</v>
      </c>
      <c r="AE39" s="112">
        <v>2</v>
      </c>
      <c r="AF39" s="112">
        <f>+AD39+AE39</f>
        <v>5</v>
      </c>
      <c r="AG39" s="121">
        <v>900</v>
      </c>
      <c r="AH39" s="121">
        <f>+AG39-100</f>
        <v>800</v>
      </c>
      <c r="AI39" s="6">
        <v>4</v>
      </c>
      <c r="AJ39" s="6">
        <f>AJ$38*AI39</f>
        <v>14</v>
      </c>
      <c r="AK39" s="124">
        <f>+V39-AJ39</f>
        <v>2</v>
      </c>
      <c r="AL39" s="6">
        <f>ROUNDDOWN(V39/3,0)</f>
        <v>5</v>
      </c>
      <c r="AM39" s="6">
        <v>9</v>
      </c>
      <c r="AN39" s="6">
        <v>2</v>
      </c>
      <c r="AO39" s="6">
        <v>2</v>
      </c>
      <c r="AP39" s="6"/>
    </row>
    <row r="40" spans="4:42">
      <c r="D40" s="7">
        <f>+D39+1</f>
        <v>2</v>
      </c>
      <c r="E40" s="99" t="s">
        <v>67</v>
      </c>
      <c r="F40" s="103"/>
      <c r="G40" s="8"/>
      <c r="H40" s="93">
        <v>1.5</v>
      </c>
      <c r="I40" s="93">
        <v>3.2</v>
      </c>
      <c r="J40" s="93">
        <v>0.5</v>
      </c>
      <c r="K40" s="93">
        <v>0.1</v>
      </c>
      <c r="L40" s="93">
        <v>0.4</v>
      </c>
      <c r="M40" s="93">
        <v>0.2</v>
      </c>
      <c r="N40" s="93">
        <v>0.15</v>
      </c>
      <c r="O40" s="93">
        <f>(3.14*J40*K40)+(3.14*(0.5*J40)^2)</f>
        <v>0.35325000000000006</v>
      </c>
      <c r="P40" s="93">
        <f>(3.14*H40*I40)+(2*3.14*(0.5*H40)^2)</f>
        <v>18.604500000000002</v>
      </c>
      <c r="Q40" s="93">
        <f xml:space="preserve"> 4*((2*L40*M40)+(4*L40*N40))</f>
        <v>1.6</v>
      </c>
      <c r="R40" s="93">
        <f>+O40+P40+Q40</f>
        <v>20.557750000000002</v>
      </c>
      <c r="S40" s="101">
        <f>3.14*(0.5*H40)^2*I40*1000</f>
        <v>5652.0000000000009</v>
      </c>
      <c r="T40" s="6">
        <v>6000</v>
      </c>
      <c r="U40" s="112">
        <f t="shared" ref="U40:U51" si="0">ROUNDUP(R40,0)</f>
        <v>21</v>
      </c>
      <c r="V40" s="112">
        <f t="shared" ref="V40:W51" si="1">ROUNDUP(V$36*U40/8,0)</f>
        <v>8</v>
      </c>
      <c r="W40" s="112">
        <v>2</v>
      </c>
      <c r="X40" s="112">
        <v>1</v>
      </c>
      <c r="Y40" s="112">
        <v>1</v>
      </c>
      <c r="Z40" s="112">
        <v>1</v>
      </c>
      <c r="AA40" s="112">
        <v>2</v>
      </c>
      <c r="AB40" s="111">
        <f>+U40/AB$36</f>
        <v>4.2</v>
      </c>
      <c r="AC40" s="111">
        <f>+AC$36*U40</f>
        <v>10.5</v>
      </c>
      <c r="AD40" s="112">
        <v>2</v>
      </c>
      <c r="AE40" s="112">
        <v>2</v>
      </c>
      <c r="AF40" s="112">
        <f t="shared" ref="AF40:AF48" si="2">+AD40+AE40</f>
        <v>4</v>
      </c>
      <c r="AG40" s="121">
        <v>750</v>
      </c>
      <c r="AH40" s="130">
        <v>800</v>
      </c>
      <c r="AI40" s="6">
        <v>2</v>
      </c>
      <c r="AJ40" s="6">
        <f t="shared" ref="AJ40:AJ48" si="3">AJ$38*AI40</f>
        <v>7</v>
      </c>
      <c r="AK40" s="124">
        <f>+V40-AJ40</f>
        <v>1</v>
      </c>
      <c r="AL40" s="6">
        <f>ROUNDDOWN(V40/3,0)</f>
        <v>2</v>
      </c>
      <c r="AM40" s="6">
        <v>6</v>
      </c>
      <c r="AN40" s="6">
        <v>2</v>
      </c>
      <c r="AO40" s="6">
        <v>2</v>
      </c>
      <c r="AP40" s="6"/>
    </row>
    <row r="41" spans="4:42">
      <c r="D41" s="7">
        <f>+D40+1</f>
        <v>3</v>
      </c>
      <c r="E41" s="97" t="s">
        <v>68</v>
      </c>
      <c r="F41" s="104"/>
      <c r="G41" s="8"/>
      <c r="H41" s="93">
        <v>1.4</v>
      </c>
      <c r="I41" s="93">
        <v>3.46</v>
      </c>
      <c r="J41" s="93">
        <v>0.5</v>
      </c>
      <c r="K41" s="93">
        <v>0.1</v>
      </c>
      <c r="L41" s="93">
        <v>0.4</v>
      </c>
      <c r="M41" s="93">
        <v>0.2</v>
      </c>
      <c r="N41" s="93">
        <v>0.15</v>
      </c>
      <c r="O41" s="93">
        <f>(3.14*J41*K41)+(3.14*(0.5*J41)^2)</f>
        <v>0.35325000000000006</v>
      </c>
      <c r="P41" s="93">
        <f>(3.14*H41*I41)+(2*3.14*(0.5*H41)^2)</f>
        <v>18.28736</v>
      </c>
      <c r="Q41" s="93">
        <f xml:space="preserve"> 4*((2*L41*M41)+(4*L41*N41))</f>
        <v>1.6</v>
      </c>
      <c r="R41" s="93">
        <f>+O41+P41+Q41</f>
        <v>20.24061</v>
      </c>
      <c r="S41" s="101">
        <f>3.14*(0.5*H41)^2*I41*1000</f>
        <v>5323.5559999999996</v>
      </c>
      <c r="T41" s="6">
        <v>6000</v>
      </c>
      <c r="U41" s="112">
        <f t="shared" si="0"/>
        <v>21</v>
      </c>
      <c r="V41" s="112">
        <f t="shared" si="1"/>
        <v>8</v>
      </c>
      <c r="W41" s="112">
        <v>2</v>
      </c>
      <c r="X41" s="112">
        <v>1</v>
      </c>
      <c r="Y41" s="112">
        <v>1</v>
      </c>
      <c r="Z41" s="112">
        <v>1</v>
      </c>
      <c r="AA41" s="112">
        <v>2</v>
      </c>
      <c r="AB41" s="111">
        <f>+U41/AB$36</f>
        <v>4.2</v>
      </c>
      <c r="AC41" s="111">
        <f>+AC$36*U41</f>
        <v>10.5</v>
      </c>
      <c r="AD41" s="112">
        <v>2</v>
      </c>
      <c r="AE41" s="112">
        <v>2</v>
      </c>
      <c r="AF41" s="112">
        <f t="shared" si="2"/>
        <v>4</v>
      </c>
      <c r="AG41" s="121">
        <v>800</v>
      </c>
      <c r="AH41" s="130">
        <v>750</v>
      </c>
      <c r="AI41" s="6">
        <v>2</v>
      </c>
      <c r="AJ41" s="6">
        <f t="shared" si="3"/>
        <v>7</v>
      </c>
      <c r="AK41" s="124">
        <f>+V41-AJ41</f>
        <v>1</v>
      </c>
      <c r="AL41" s="6">
        <f>ROUNDDOWN(V41/3,0)</f>
        <v>2</v>
      </c>
      <c r="AM41" s="6">
        <v>4</v>
      </c>
      <c r="AN41" s="6">
        <v>2</v>
      </c>
      <c r="AO41" s="6">
        <v>2</v>
      </c>
      <c r="AP41" s="6"/>
    </row>
    <row r="42" spans="4:42">
      <c r="D42" s="7">
        <f t="shared" ref="D42:D43" si="4">+D41+1</f>
        <v>4</v>
      </c>
      <c r="E42" s="97" t="s">
        <v>71</v>
      </c>
      <c r="F42" s="104"/>
      <c r="G42" s="8"/>
      <c r="H42" s="93">
        <v>1.77</v>
      </c>
      <c r="I42" s="93">
        <v>3.1</v>
      </c>
      <c r="J42" s="93">
        <v>0.5</v>
      </c>
      <c r="K42" s="93">
        <v>0.1</v>
      </c>
      <c r="L42" s="93">
        <v>0.4</v>
      </c>
      <c r="M42" s="93">
        <v>0.2</v>
      </c>
      <c r="N42" s="93">
        <v>0.15</v>
      </c>
      <c r="O42" s="93">
        <f t="shared" ref="O42:O47" si="5">(3.14*J42*K42)+(3.14*(0.5*J42)^2)</f>
        <v>0.35325000000000006</v>
      </c>
      <c r="P42" s="93">
        <f t="shared" ref="P42:P43" si="6">(3.14*H42*I42)+(2*3.14*(0.5*H42)^2)</f>
        <v>22.147833000000006</v>
      </c>
      <c r="Q42" s="93">
        <f t="shared" ref="Q42:Q47" si="7" xml:space="preserve"> 4*((2*L42*M42)+(4*L42*N42))</f>
        <v>1.6</v>
      </c>
      <c r="R42" s="93">
        <f t="shared" ref="R42:R47" si="8">+O42+P42+Q42</f>
        <v>24.101083000000006</v>
      </c>
      <c r="S42" s="101">
        <f>3.14*(0.5*H42)^2*I42*1000</f>
        <v>7623.9121500000019</v>
      </c>
      <c r="T42" s="6">
        <v>9000</v>
      </c>
      <c r="U42" s="112">
        <f t="shared" si="0"/>
        <v>25</v>
      </c>
      <c r="V42" s="112">
        <f t="shared" si="1"/>
        <v>10</v>
      </c>
      <c r="W42" s="112">
        <v>2</v>
      </c>
      <c r="X42" s="112">
        <v>1</v>
      </c>
      <c r="Y42" s="112">
        <v>1</v>
      </c>
      <c r="Z42" s="112">
        <v>1</v>
      </c>
      <c r="AA42" s="112">
        <v>2</v>
      </c>
      <c r="AB42" s="111">
        <f>+U42/AB$36</f>
        <v>5</v>
      </c>
      <c r="AC42" s="111">
        <f>+AC$36*U42</f>
        <v>12.5</v>
      </c>
      <c r="AD42" s="112">
        <v>2</v>
      </c>
      <c r="AE42" s="112">
        <v>2</v>
      </c>
      <c r="AF42" s="112">
        <f t="shared" si="2"/>
        <v>4</v>
      </c>
      <c r="AG42" s="121">
        <v>800</v>
      </c>
      <c r="AH42" s="130">
        <v>750</v>
      </c>
      <c r="AI42" s="6">
        <v>2</v>
      </c>
      <c r="AJ42" s="6">
        <f t="shared" si="3"/>
        <v>7</v>
      </c>
      <c r="AK42" s="124">
        <f>+V42-AJ42</f>
        <v>3</v>
      </c>
      <c r="AL42" s="6">
        <f>ROUNDDOWN(V42/3,0)</f>
        <v>3</v>
      </c>
      <c r="AM42" s="6">
        <v>4</v>
      </c>
      <c r="AN42" s="6">
        <v>2</v>
      </c>
      <c r="AO42" s="6">
        <v>2</v>
      </c>
      <c r="AP42" s="6"/>
    </row>
    <row r="43" spans="4:42">
      <c r="D43" s="7">
        <f t="shared" si="4"/>
        <v>5</v>
      </c>
      <c r="E43" s="97" t="s">
        <v>73</v>
      </c>
      <c r="F43" s="104"/>
      <c r="G43" s="8"/>
      <c r="H43" s="93">
        <v>1.73</v>
      </c>
      <c r="I43" s="93">
        <v>3.08</v>
      </c>
      <c r="J43" s="93">
        <v>0.5</v>
      </c>
      <c r="K43" s="93">
        <v>0.1</v>
      </c>
      <c r="L43" s="93">
        <v>0.4</v>
      </c>
      <c r="M43" s="93">
        <v>0.2</v>
      </c>
      <c r="N43" s="93">
        <v>0.15</v>
      </c>
      <c r="O43" s="93">
        <f t="shared" si="5"/>
        <v>0.35325000000000006</v>
      </c>
      <c r="P43" s="93">
        <f t="shared" si="6"/>
        <v>21.430029000000001</v>
      </c>
      <c r="Q43" s="93">
        <f t="shared" si="7"/>
        <v>1.6</v>
      </c>
      <c r="R43" s="93">
        <f t="shared" si="8"/>
        <v>23.383279000000002</v>
      </c>
      <c r="S43" s="101">
        <f>3.14*(0.5*H43)^2*I43*1000</f>
        <v>7236.2336200000009</v>
      </c>
      <c r="T43" s="6">
        <v>5500</v>
      </c>
      <c r="U43" s="112">
        <f t="shared" si="0"/>
        <v>24</v>
      </c>
      <c r="V43" s="112">
        <f t="shared" si="1"/>
        <v>9</v>
      </c>
      <c r="W43" s="112">
        <v>2</v>
      </c>
      <c r="X43" s="112">
        <v>1</v>
      </c>
      <c r="Y43" s="112">
        <v>1</v>
      </c>
      <c r="Z43" s="112">
        <v>1</v>
      </c>
      <c r="AA43" s="112">
        <v>2</v>
      </c>
      <c r="AB43" s="111">
        <f>+U43/AB$36</f>
        <v>4.8</v>
      </c>
      <c r="AC43" s="111">
        <f>+AC$36*U43</f>
        <v>12</v>
      </c>
      <c r="AD43" s="112">
        <v>2</v>
      </c>
      <c r="AE43" s="112">
        <v>2</v>
      </c>
      <c r="AF43" s="112">
        <f t="shared" si="2"/>
        <v>4</v>
      </c>
      <c r="AG43" s="121">
        <v>800</v>
      </c>
      <c r="AH43" s="130">
        <v>750</v>
      </c>
      <c r="AI43" s="6">
        <v>2</v>
      </c>
      <c r="AJ43" s="6">
        <f t="shared" si="3"/>
        <v>7</v>
      </c>
      <c r="AK43" s="124">
        <f>+V43-AJ43</f>
        <v>2</v>
      </c>
      <c r="AL43" s="6">
        <f>ROUNDDOWN(V43/3,0)</f>
        <v>3</v>
      </c>
      <c r="AM43" s="6">
        <v>4</v>
      </c>
      <c r="AN43" s="6">
        <v>2</v>
      </c>
      <c r="AO43" s="6">
        <v>2</v>
      </c>
      <c r="AP43" s="6"/>
    </row>
    <row r="44" spans="4:42">
      <c r="D44" s="106" t="s">
        <v>86</v>
      </c>
      <c r="E44" s="102"/>
      <c r="F44" s="103"/>
      <c r="G44" s="108"/>
      <c r="H44" s="92" t="s">
        <v>45</v>
      </c>
      <c r="I44" s="92" t="s">
        <v>47</v>
      </c>
      <c r="J44" s="92" t="s">
        <v>41</v>
      </c>
      <c r="K44" s="92" t="s">
        <v>43</v>
      </c>
      <c r="L44" s="92" t="s">
        <v>57</v>
      </c>
      <c r="M44" s="92" t="s">
        <v>50</v>
      </c>
      <c r="N44" s="92" t="s">
        <v>58</v>
      </c>
      <c r="O44" s="92" t="s">
        <v>64</v>
      </c>
      <c r="P44" s="92" t="s">
        <v>62</v>
      </c>
      <c r="Q44" s="92" t="s">
        <v>63</v>
      </c>
      <c r="R44" s="92" t="s">
        <v>27</v>
      </c>
      <c r="S44" s="92" t="s">
        <v>29</v>
      </c>
      <c r="T44" s="6"/>
      <c r="U44" s="112"/>
      <c r="V44" s="112"/>
      <c r="W44" s="112"/>
      <c r="X44" s="112"/>
      <c r="Y44" s="112"/>
      <c r="Z44" s="112"/>
      <c r="AA44" s="112"/>
      <c r="AB44" s="111"/>
      <c r="AC44" s="111"/>
      <c r="AD44" s="112"/>
      <c r="AE44" s="112"/>
      <c r="AF44" s="112"/>
      <c r="AG44" s="121">
        <f t="shared" ref="AG44:AG46" si="9">+AG$38*AF44</f>
        <v>0</v>
      </c>
      <c r="AH44" s="121"/>
      <c r="AI44" s="6"/>
      <c r="AJ44" s="6"/>
      <c r="AK44" s="124"/>
      <c r="AL44" s="6"/>
      <c r="AM44" s="6"/>
      <c r="AN44" s="6"/>
      <c r="AO44" s="6"/>
      <c r="AP44" s="6"/>
    </row>
    <row r="45" spans="4:42">
      <c r="D45" s="7">
        <v>6</v>
      </c>
      <c r="E45" s="97" t="s">
        <v>74</v>
      </c>
      <c r="F45" s="104"/>
      <c r="G45" s="8"/>
      <c r="H45" s="93">
        <v>2.6</v>
      </c>
      <c r="I45" s="93">
        <v>3.4</v>
      </c>
      <c r="J45" s="93">
        <v>0.5</v>
      </c>
      <c r="K45" s="93">
        <v>0.1</v>
      </c>
      <c r="L45" s="93">
        <v>0</v>
      </c>
      <c r="M45" s="93">
        <v>0</v>
      </c>
      <c r="N45" s="93">
        <v>0</v>
      </c>
      <c r="O45" s="93">
        <f t="shared" ref="O45" si="10">(3.14*J45*K45)+(3.14*(0.5*J45)^2)</f>
        <v>0.35325000000000006</v>
      </c>
      <c r="P45" s="93">
        <f t="shared" ref="P45" si="11">(3.14*H45*I45)+(2*3.14*(0.5*H45)^2)</f>
        <v>38.370800000000003</v>
      </c>
      <c r="Q45" s="93">
        <f t="shared" ref="Q45" si="12" xml:space="preserve"> 4*((2*L45*M45)+(4*L45*N45))</f>
        <v>0</v>
      </c>
      <c r="R45" s="93">
        <f t="shared" ref="R45" si="13">+O45+P45+Q45</f>
        <v>38.724050000000005</v>
      </c>
      <c r="S45" s="101">
        <f>3.14*(0.5*H45)^2*I45*1000</f>
        <v>18042.440000000002</v>
      </c>
      <c r="T45" s="6">
        <v>12000</v>
      </c>
      <c r="U45" s="112">
        <f t="shared" si="0"/>
        <v>39</v>
      </c>
      <c r="V45" s="112">
        <f t="shared" si="1"/>
        <v>15</v>
      </c>
      <c r="W45" s="112">
        <v>2</v>
      </c>
      <c r="X45" s="112">
        <v>1</v>
      </c>
      <c r="Y45" s="112">
        <v>1</v>
      </c>
      <c r="Z45" s="112">
        <v>1</v>
      </c>
      <c r="AA45" s="112">
        <v>2</v>
      </c>
      <c r="AB45" s="111">
        <f>+U45/AB$36</f>
        <v>7.8</v>
      </c>
      <c r="AC45" s="111">
        <f>+AC$36*U45</f>
        <v>19.5</v>
      </c>
      <c r="AD45" s="112">
        <v>3</v>
      </c>
      <c r="AE45" s="112">
        <v>2</v>
      </c>
      <c r="AF45" s="112">
        <f t="shared" si="2"/>
        <v>5</v>
      </c>
      <c r="AG45" s="121">
        <v>1000</v>
      </c>
      <c r="AH45" s="130">
        <f t="shared" ref="AH45" si="14">+AG45-100</f>
        <v>900</v>
      </c>
      <c r="AI45" s="6">
        <v>4</v>
      </c>
      <c r="AJ45" s="6">
        <f t="shared" si="3"/>
        <v>14</v>
      </c>
      <c r="AK45" s="124">
        <f>+V45-AJ45</f>
        <v>1</v>
      </c>
      <c r="AL45" s="6">
        <v>4</v>
      </c>
      <c r="AM45" s="6">
        <v>9</v>
      </c>
      <c r="AN45" s="127">
        <v>2</v>
      </c>
      <c r="AO45" s="127">
        <v>2</v>
      </c>
      <c r="AP45" s="6"/>
    </row>
    <row r="46" spans="4:42">
      <c r="D46" s="106" t="s">
        <v>76</v>
      </c>
      <c r="E46" s="102"/>
      <c r="F46" s="103"/>
      <c r="G46" s="92" t="s">
        <v>79</v>
      </c>
      <c r="H46" s="92" t="s">
        <v>45</v>
      </c>
      <c r="I46" s="92" t="s">
        <v>47</v>
      </c>
      <c r="J46" s="92" t="s">
        <v>41</v>
      </c>
      <c r="K46" s="92" t="s">
        <v>43</v>
      </c>
      <c r="L46" s="92" t="s">
        <v>57</v>
      </c>
      <c r="M46" s="92" t="s">
        <v>50</v>
      </c>
      <c r="N46" s="92" t="s">
        <v>58</v>
      </c>
      <c r="O46" s="92" t="s">
        <v>64</v>
      </c>
      <c r="P46" s="92" t="s">
        <v>62</v>
      </c>
      <c r="Q46" s="92" t="s">
        <v>63</v>
      </c>
      <c r="R46" s="92" t="s">
        <v>27</v>
      </c>
      <c r="S46" s="92" t="s">
        <v>29</v>
      </c>
      <c r="T46" s="6"/>
      <c r="U46" s="112"/>
      <c r="V46" s="112"/>
      <c r="W46" s="112"/>
      <c r="X46" s="112"/>
      <c r="Y46" s="112"/>
      <c r="Z46" s="112"/>
      <c r="AA46" s="112"/>
      <c r="AB46" s="111"/>
      <c r="AC46" s="111"/>
      <c r="AD46" s="112"/>
      <c r="AE46" s="112"/>
      <c r="AF46" s="112"/>
      <c r="AG46" s="121">
        <f t="shared" si="9"/>
        <v>0</v>
      </c>
      <c r="AH46" s="121"/>
      <c r="AI46" s="6"/>
      <c r="AJ46" s="6"/>
      <c r="AK46" s="124"/>
      <c r="AL46" s="6"/>
      <c r="AM46" s="6"/>
      <c r="AN46" s="6"/>
      <c r="AO46" s="6"/>
      <c r="AP46" s="6"/>
    </row>
    <row r="47" spans="4:42">
      <c r="D47" s="7">
        <v>7</v>
      </c>
      <c r="E47" s="97" t="s">
        <v>72</v>
      </c>
      <c r="F47" s="98"/>
      <c r="G47" s="93">
        <v>1.23</v>
      </c>
      <c r="H47" s="93">
        <v>1.37</v>
      </c>
      <c r="I47" s="93">
        <v>3.07</v>
      </c>
      <c r="J47" s="93">
        <v>0.5</v>
      </c>
      <c r="K47" s="93">
        <v>0.1</v>
      </c>
      <c r="L47" s="93">
        <v>0.4</v>
      </c>
      <c r="M47" s="93">
        <v>0.2</v>
      </c>
      <c r="N47" s="93">
        <v>0.15</v>
      </c>
      <c r="O47" s="93">
        <f t="shared" si="5"/>
        <v>0.35325000000000006</v>
      </c>
      <c r="P47" s="93">
        <f>(3.14*((0.5*H47)+(0.5*G47))*I47)+(3.14*0.5*H47*0.5*G47)</f>
        <v>13.854543500000002</v>
      </c>
      <c r="Q47" s="93">
        <f t="shared" si="7"/>
        <v>1.6</v>
      </c>
      <c r="R47" s="93">
        <f t="shared" si="8"/>
        <v>15.807793500000001</v>
      </c>
      <c r="S47" s="101">
        <f>3.14*0.5*H47*0.5*G47*I47*1000</f>
        <v>4061.0067450000001</v>
      </c>
      <c r="T47" s="6">
        <v>5000</v>
      </c>
      <c r="U47" s="112">
        <f t="shared" si="0"/>
        <v>16</v>
      </c>
      <c r="V47" s="112">
        <f t="shared" si="1"/>
        <v>6</v>
      </c>
      <c r="W47" s="112">
        <v>2</v>
      </c>
      <c r="X47" s="112">
        <v>1</v>
      </c>
      <c r="Y47" s="112">
        <v>1</v>
      </c>
      <c r="Z47" s="112">
        <v>1</v>
      </c>
      <c r="AA47" s="112">
        <v>2</v>
      </c>
      <c r="AB47" s="111">
        <f>+U47/AB$36</f>
        <v>3.2</v>
      </c>
      <c r="AC47" s="111">
        <f>+AC$36*U47</f>
        <v>8</v>
      </c>
      <c r="AD47" s="112">
        <v>2</v>
      </c>
      <c r="AE47" s="112">
        <v>2</v>
      </c>
      <c r="AF47" s="112">
        <f t="shared" si="2"/>
        <v>4</v>
      </c>
      <c r="AG47" s="121">
        <v>750</v>
      </c>
      <c r="AH47" s="130">
        <v>750</v>
      </c>
      <c r="AI47" s="6">
        <v>1</v>
      </c>
      <c r="AJ47" s="6">
        <f t="shared" si="3"/>
        <v>3.5</v>
      </c>
      <c r="AK47" s="124">
        <f>+V47-AJ47</f>
        <v>2.5</v>
      </c>
      <c r="AL47" s="6">
        <f>ROUNDDOWN(V47/3,0)</f>
        <v>2</v>
      </c>
      <c r="AM47" s="6">
        <v>4</v>
      </c>
      <c r="AN47" s="6">
        <v>2</v>
      </c>
      <c r="AO47" s="6">
        <v>2</v>
      </c>
      <c r="AP47" s="6"/>
    </row>
    <row r="48" spans="4:42">
      <c r="D48" s="7">
        <v>8</v>
      </c>
      <c r="E48" s="97" t="s">
        <v>75</v>
      </c>
      <c r="F48" s="98"/>
      <c r="G48" s="93">
        <v>1.43</v>
      </c>
      <c r="H48" s="93">
        <v>1.6</v>
      </c>
      <c r="I48" s="93">
        <v>4.0199999999999996</v>
      </c>
      <c r="J48" s="93">
        <v>0.5</v>
      </c>
      <c r="K48" s="93">
        <v>0.1</v>
      </c>
      <c r="L48" s="93">
        <v>0.4</v>
      </c>
      <c r="M48" s="93">
        <v>0.2</v>
      </c>
      <c r="N48" s="93">
        <v>0.15</v>
      </c>
      <c r="O48" s="93">
        <f t="shared" ref="O48" si="15">(3.14*J48*K48)+(3.14*(0.5*J48)^2)</f>
        <v>0.35325000000000006</v>
      </c>
      <c r="P48" s="93">
        <f t="shared" ref="P48" si="16">(3.14*((0.5*H48)+(0.5*G48))*I48)+(3.14*0.5*H48*0.5*G48)</f>
        <v>20.919622</v>
      </c>
      <c r="Q48" s="93">
        <f t="shared" ref="Q48" si="17" xml:space="preserve"> 4*((2*L48*M48)+(4*L48*N48))</f>
        <v>1.6</v>
      </c>
      <c r="R48" s="93">
        <f t="shared" ref="R48" si="18">+O48+P48+Q48</f>
        <v>22.872872000000001</v>
      </c>
      <c r="S48" s="101">
        <f>3.14*0.5*H48*0.5*G48*I48*1000</f>
        <v>7220.2416000000003</v>
      </c>
      <c r="T48" s="6">
        <v>6000</v>
      </c>
      <c r="U48" s="112">
        <f t="shared" si="0"/>
        <v>23</v>
      </c>
      <c r="V48" s="112">
        <f t="shared" si="1"/>
        <v>9</v>
      </c>
      <c r="W48" s="112">
        <v>2</v>
      </c>
      <c r="X48" s="112">
        <v>1</v>
      </c>
      <c r="Y48" s="112">
        <v>1</v>
      </c>
      <c r="Z48" s="112">
        <v>1</v>
      </c>
      <c r="AA48" s="112">
        <v>2</v>
      </c>
      <c r="AB48" s="111">
        <f>+U48/AB$36</f>
        <v>4.5999999999999996</v>
      </c>
      <c r="AC48" s="111">
        <f>+AC$36*U48</f>
        <v>11.5</v>
      </c>
      <c r="AD48" s="112">
        <v>2</v>
      </c>
      <c r="AE48" s="112">
        <v>2</v>
      </c>
      <c r="AF48" s="112">
        <f t="shared" si="2"/>
        <v>4</v>
      </c>
      <c r="AG48" s="121">
        <v>750</v>
      </c>
      <c r="AH48" s="121">
        <v>700</v>
      </c>
      <c r="AI48" s="6">
        <v>2</v>
      </c>
      <c r="AJ48" s="6">
        <f t="shared" si="3"/>
        <v>7</v>
      </c>
      <c r="AK48" s="124">
        <f>+V48-AJ48</f>
        <v>2</v>
      </c>
      <c r="AL48" s="6">
        <f>ROUNDDOWN(V48/3,0)</f>
        <v>3</v>
      </c>
      <c r="AM48" s="6">
        <v>4</v>
      </c>
      <c r="AN48" s="6">
        <v>2</v>
      </c>
      <c r="AO48" s="6">
        <v>2</v>
      </c>
      <c r="AP48" s="6"/>
    </row>
    <row r="49" spans="4:42">
      <c r="D49" s="106" t="s">
        <v>81</v>
      </c>
      <c r="E49" s="102"/>
      <c r="F49" s="103"/>
      <c r="G49" s="92" t="s">
        <v>79</v>
      </c>
      <c r="H49" s="92" t="s">
        <v>45</v>
      </c>
      <c r="I49" s="92" t="s">
        <v>47</v>
      </c>
      <c r="J49" s="92" t="s">
        <v>41</v>
      </c>
      <c r="K49" s="92" t="s">
        <v>43</v>
      </c>
      <c r="L49" s="92" t="s">
        <v>57</v>
      </c>
      <c r="M49" s="92" t="s">
        <v>50</v>
      </c>
      <c r="N49" s="92" t="s">
        <v>58</v>
      </c>
      <c r="O49" s="92" t="s">
        <v>64</v>
      </c>
      <c r="P49" s="92" t="s">
        <v>62</v>
      </c>
      <c r="Q49" s="92" t="s">
        <v>63</v>
      </c>
      <c r="R49" s="92" t="s">
        <v>27</v>
      </c>
      <c r="S49" s="92" t="s">
        <v>29</v>
      </c>
      <c r="T49" s="6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21"/>
      <c r="AH49" s="121"/>
      <c r="AI49" s="6"/>
      <c r="AJ49" s="6"/>
      <c r="AK49" s="6"/>
      <c r="AL49" s="6"/>
      <c r="AM49" s="6"/>
      <c r="AN49" s="6"/>
      <c r="AO49" s="6"/>
      <c r="AP49" s="6"/>
    </row>
    <row r="50" spans="4:42" hidden="1">
      <c r="D50" s="7">
        <f>+D48+1</f>
        <v>9</v>
      </c>
      <c r="E50" s="97" t="s">
        <v>82</v>
      </c>
      <c r="F50" s="98"/>
      <c r="G50" s="93"/>
      <c r="H50" s="93"/>
      <c r="I50" s="93"/>
      <c r="J50" s="93"/>
      <c r="K50" s="93"/>
      <c r="L50" s="93"/>
      <c r="M50" s="93"/>
      <c r="N50" s="93"/>
      <c r="O50" s="93">
        <f t="shared" ref="O50:O51" si="19">(3.14*J50*K50)+(3.14*(0.5*J50)^2)</f>
        <v>0</v>
      </c>
      <c r="P50" s="93">
        <f>(3.14*((0.5*H50)+(0.5*G50))*I50)+(3.14*0.5*H50*0.5*G50)</f>
        <v>0</v>
      </c>
      <c r="Q50" s="93">
        <f t="shared" ref="Q50:Q51" si="20" xml:space="preserve"> 4*((2*L50*M50)+(4*L50*N50))</f>
        <v>0</v>
      </c>
      <c r="R50" s="93">
        <f t="shared" ref="R50:R51" si="21">+O50+P50+Q50</f>
        <v>0</v>
      </c>
      <c r="S50" s="101">
        <f>3.14*0.5*H50*0.5*G50*I50*1000</f>
        <v>0</v>
      </c>
      <c r="T50" s="6">
        <v>14000</v>
      </c>
      <c r="U50" s="112">
        <f t="shared" si="0"/>
        <v>0</v>
      </c>
      <c r="V50" s="112">
        <f t="shared" si="1"/>
        <v>0</v>
      </c>
      <c r="W50" s="112">
        <f t="shared" si="1"/>
        <v>0</v>
      </c>
      <c r="X50" s="112">
        <f t="shared" ref="X50:Y50" si="22">ROUNDUP(X$36*W50/8,0)</f>
        <v>0</v>
      </c>
      <c r="Y50" s="112">
        <f t="shared" si="22"/>
        <v>0</v>
      </c>
      <c r="Z50" s="112">
        <f t="shared" ref="Z50:AB51" si="23">ROUNDUP(Z$36*W50/8,0)</f>
        <v>0</v>
      </c>
      <c r="AA50" s="112">
        <f t="shared" si="23"/>
        <v>0</v>
      </c>
      <c r="AB50" s="112">
        <f t="shared" si="23"/>
        <v>0</v>
      </c>
      <c r="AC50" s="112">
        <f>+AC$36*U50</f>
        <v>0</v>
      </c>
      <c r="AD50" s="112">
        <f>+AD$36*V50</f>
        <v>0</v>
      </c>
      <c r="AE50" s="112">
        <f t="shared" ref="AE50:AF51" si="24">+AE$36*AC50</f>
        <v>0</v>
      </c>
      <c r="AF50" s="112">
        <f t="shared" si="24"/>
        <v>0</v>
      </c>
      <c r="AG50" s="121"/>
      <c r="AH50" s="121"/>
      <c r="AI50" s="6"/>
      <c r="AJ50" s="6"/>
      <c r="AK50" s="6"/>
      <c r="AL50" s="6"/>
      <c r="AM50" s="6"/>
      <c r="AN50" s="6"/>
      <c r="AO50" s="6"/>
      <c r="AP50" s="6"/>
    </row>
    <row r="51" spans="4:42" hidden="1">
      <c r="D51" s="7">
        <f t="shared" ref="D51" si="25">+D50+1</f>
        <v>10</v>
      </c>
      <c r="E51" s="97" t="s">
        <v>83</v>
      </c>
      <c r="F51" s="98"/>
      <c r="G51" s="93"/>
      <c r="H51" s="93"/>
      <c r="I51" s="93"/>
      <c r="J51" s="93"/>
      <c r="K51" s="93"/>
      <c r="L51" s="93"/>
      <c r="M51" s="93"/>
      <c r="N51" s="93"/>
      <c r="O51" s="93">
        <f t="shared" si="19"/>
        <v>0</v>
      </c>
      <c r="P51" s="93">
        <f t="shared" ref="P51" si="26">(3.14*((0.5*H51)+(0.5*G51))*I51)+(3.14*0.5*H51*0.5*G51)</f>
        <v>0</v>
      </c>
      <c r="Q51" s="93">
        <f t="shared" si="20"/>
        <v>0</v>
      </c>
      <c r="R51" s="93">
        <f t="shared" si="21"/>
        <v>0</v>
      </c>
      <c r="S51" s="101">
        <f>3.14*0.5*H51*0.5*G51*I51*1000</f>
        <v>0</v>
      </c>
      <c r="T51" s="59" t="s">
        <v>84</v>
      </c>
      <c r="U51" s="112">
        <f t="shared" si="0"/>
        <v>0</v>
      </c>
      <c r="V51" s="112">
        <f t="shared" si="1"/>
        <v>0</v>
      </c>
      <c r="W51" s="112">
        <f t="shared" si="1"/>
        <v>0</v>
      </c>
      <c r="X51" s="112">
        <f t="shared" ref="X51:Y51" si="27">ROUNDUP(X$36*W51/8,0)</f>
        <v>0</v>
      </c>
      <c r="Y51" s="112">
        <f t="shared" si="27"/>
        <v>0</v>
      </c>
      <c r="Z51" s="112">
        <f t="shared" si="23"/>
        <v>0</v>
      </c>
      <c r="AA51" s="112">
        <f t="shared" si="23"/>
        <v>0</v>
      </c>
      <c r="AB51" s="112">
        <f t="shared" si="23"/>
        <v>0</v>
      </c>
      <c r="AC51" s="112">
        <f>+AC$36*U51</f>
        <v>0</v>
      </c>
      <c r="AD51" s="112">
        <f>+AD$36*V51</f>
        <v>0</v>
      </c>
      <c r="AE51" s="112">
        <f t="shared" si="24"/>
        <v>0</v>
      </c>
      <c r="AF51" s="112">
        <f t="shared" si="24"/>
        <v>0</v>
      </c>
      <c r="AG51" s="121"/>
      <c r="AH51" s="121"/>
      <c r="AI51" s="6"/>
      <c r="AJ51" s="6"/>
      <c r="AK51" s="6"/>
      <c r="AL51" s="6"/>
      <c r="AM51" s="6"/>
      <c r="AN51" s="6"/>
      <c r="AO51" s="6"/>
      <c r="AP51" s="6"/>
    </row>
    <row r="52" spans="4:42">
      <c r="U52" s="92" t="s">
        <v>35</v>
      </c>
      <c r="V52" s="113">
        <f>SUM(V39:V48)</f>
        <v>81</v>
      </c>
      <c r="W52" s="113">
        <f t="shared" ref="W52:Z52" si="28">SUM(W39:W48)</f>
        <v>16</v>
      </c>
      <c r="X52" s="113">
        <f t="shared" si="28"/>
        <v>8</v>
      </c>
      <c r="Y52" s="113">
        <f t="shared" si="28"/>
        <v>8</v>
      </c>
      <c r="Z52" s="113">
        <f t="shared" si="28"/>
        <v>8</v>
      </c>
      <c r="AA52" s="113">
        <f t="shared" ref="AA52:AB52" si="29">SUM(AA39:AA48)</f>
        <v>16</v>
      </c>
      <c r="AB52" s="116">
        <f t="shared" si="29"/>
        <v>42.2</v>
      </c>
      <c r="AC52" s="116">
        <f t="shared" ref="AC52" si="30">SUM(AC39:AC48)</f>
        <v>105.5</v>
      </c>
      <c r="AD52" s="113"/>
      <c r="AE52" s="113"/>
      <c r="AF52" s="113">
        <f t="shared" ref="AF52:AL52" si="31">SUM(AF39:AF48)</f>
        <v>34</v>
      </c>
      <c r="AG52" s="123">
        <f t="shared" si="31"/>
        <v>6550</v>
      </c>
      <c r="AH52" s="123">
        <f t="shared" si="31"/>
        <v>6200</v>
      </c>
      <c r="AI52" s="113">
        <f t="shared" si="31"/>
        <v>19</v>
      </c>
      <c r="AJ52" s="113">
        <f t="shared" si="31"/>
        <v>66.5</v>
      </c>
      <c r="AK52" s="113">
        <f t="shared" si="31"/>
        <v>14.5</v>
      </c>
      <c r="AL52" s="113">
        <f t="shared" si="31"/>
        <v>24</v>
      </c>
      <c r="AM52" s="125">
        <f>SUM(AM39:AM51)</f>
        <v>44</v>
      </c>
      <c r="AN52" s="125">
        <f>SUM(AN39:AN51)</f>
        <v>16</v>
      </c>
      <c r="AO52" s="125">
        <f>SUM(AO39:AO51)</f>
        <v>16</v>
      </c>
      <c r="AP52" s="6"/>
    </row>
    <row r="54" spans="4:42">
      <c r="AG54" s="118">
        <f>7650-AG52</f>
        <v>1100</v>
      </c>
      <c r="AH54" s="118">
        <f>7650-AH52</f>
        <v>1450</v>
      </c>
      <c r="AI54" s="64">
        <f>+AI52*210000</f>
        <v>3990000</v>
      </c>
      <c r="AM54">
        <f>+AM52/2</f>
        <v>22</v>
      </c>
    </row>
    <row r="55" spans="4:42">
      <c r="AH55" s="118">
        <f>+AH54-800</f>
        <v>650</v>
      </c>
      <c r="AI55" s="64">
        <f>+AK52*65000</f>
        <v>942500</v>
      </c>
    </row>
    <row r="56" spans="4:42">
      <c r="AI56" s="64">
        <f>+AL52*25000</f>
        <v>600000</v>
      </c>
    </row>
    <row r="57" spans="4:42">
      <c r="AI57" s="118">
        <f>SUM(AI54:AI56)</f>
        <v>5532500</v>
      </c>
    </row>
    <row r="58" spans="4:42">
      <c r="AI58" s="118">
        <f>7290000-AI57</f>
        <v>1757500</v>
      </c>
    </row>
  </sheetData>
  <mergeCells count="1">
    <mergeCell ref="AD37:AF37"/>
  </mergeCells>
  <printOptions horizontalCentered="1"/>
  <pageMargins left="0.19685039370078741" right="0.31496062992125984" top="0.39370078740157483" bottom="0.51181102362204722" header="0.27559055118110237" footer="0.51181102362204722"/>
  <pageSetup paperSize="256" scale="48" firstPageNumber="4294963191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XFD37"/>
  <sheetViews>
    <sheetView tabSelected="1" topLeftCell="E1" zoomScale="80" zoomScaleNormal="80" workbookViewId="0">
      <selection activeCell="M3" sqref="M3:U10"/>
    </sheetView>
  </sheetViews>
  <sheetFormatPr defaultRowHeight="15.75"/>
  <cols>
    <col min="1" max="1" width="4.5703125" style="1" customWidth="1"/>
    <col min="2" max="2" width="20" style="1" customWidth="1"/>
    <col min="3" max="3" width="19.5703125" style="1" customWidth="1"/>
    <col min="4" max="4" width="10.140625" style="83" customWidth="1"/>
    <col min="5" max="5" width="9.42578125" style="1" customWidth="1"/>
    <col min="6" max="6" width="11" style="1" customWidth="1"/>
    <col min="7" max="7" width="15" style="1" customWidth="1"/>
    <col min="8" max="8" width="16.7109375" style="1" customWidth="1"/>
    <col min="9" max="9" width="16.5703125" style="1" customWidth="1"/>
    <col min="10" max="10" width="12.85546875" style="1" customWidth="1"/>
    <col min="11" max="11" width="22.28515625" style="1" customWidth="1"/>
    <col min="12" max="12" width="11.7109375" style="1" bestFit="1" customWidth="1"/>
    <col min="13" max="13" width="8.85546875" style="132" customWidth="1"/>
    <col min="14" max="14" width="19.5703125" style="1" customWidth="1"/>
    <col min="15" max="15" width="10.85546875" style="131" customWidth="1"/>
    <col min="16" max="16" width="12" style="1" customWidth="1"/>
    <col min="17" max="17" width="11.85546875" style="1" customWidth="1"/>
    <col min="18" max="19" width="10" style="83" customWidth="1"/>
    <col min="20" max="20" width="9.28515625" style="1" customWidth="1"/>
    <col min="21" max="21" width="11.5703125" style="1" customWidth="1"/>
    <col min="22" max="22" width="9.28515625" style="1" customWidth="1"/>
    <col min="23" max="23" width="9.140625" style="40" customWidth="1"/>
    <col min="24" max="25" width="9.140625" style="40"/>
    <col min="26" max="26" width="9.28515625" style="40" bestFit="1" customWidth="1"/>
    <col min="27" max="36" width="9.140625" style="1"/>
    <col min="37" max="37" width="12" style="1" bestFit="1" customWidth="1"/>
    <col min="38" max="16384" width="9.140625" style="1"/>
  </cols>
  <sheetData>
    <row r="3" spans="1:27" ht="33.75">
      <c r="A3" s="9"/>
      <c r="B3" s="177" t="s">
        <v>22</v>
      </c>
      <c r="C3" s="177"/>
      <c r="D3" s="177"/>
      <c r="E3" s="177"/>
      <c r="F3" s="177"/>
      <c r="G3" s="177"/>
      <c r="H3" s="177"/>
      <c r="I3" s="177"/>
    </row>
    <row r="4" spans="1:27" ht="24.75" customHeight="1">
      <c r="A4" s="9"/>
      <c r="B4" s="178" t="s">
        <v>134</v>
      </c>
      <c r="C4" s="178"/>
      <c r="D4" s="178"/>
      <c r="E4" s="178"/>
      <c r="F4" s="178"/>
      <c r="G4" s="178"/>
      <c r="H4" s="178"/>
      <c r="I4" s="178"/>
      <c r="M4" s="166" t="s">
        <v>130</v>
      </c>
      <c r="N4" s="40"/>
      <c r="O4" s="167" t="s">
        <v>123</v>
      </c>
      <c r="P4" s="169"/>
      <c r="Q4" s="168"/>
      <c r="R4" s="153" t="s">
        <v>20</v>
      </c>
      <c r="S4" s="151" t="s">
        <v>124</v>
      </c>
      <c r="T4" s="151" t="s">
        <v>124</v>
      </c>
      <c r="U4" s="137" t="s">
        <v>127</v>
      </c>
      <c r="W4" s="1"/>
      <c r="AA4" s="40"/>
    </row>
    <row r="5" spans="1:27" ht="27" thickBot="1">
      <c r="A5" s="56"/>
      <c r="B5" s="179" t="s">
        <v>135</v>
      </c>
      <c r="C5" s="179"/>
      <c r="D5" s="179"/>
      <c r="E5" s="179"/>
      <c r="F5" s="179"/>
      <c r="G5" s="179"/>
      <c r="H5" s="179"/>
      <c r="I5" s="179"/>
      <c r="M5" s="165" t="s">
        <v>28</v>
      </c>
      <c r="N5" s="164" t="s">
        <v>122</v>
      </c>
      <c r="O5" s="164" t="s">
        <v>136</v>
      </c>
      <c r="P5" s="164" t="s">
        <v>137</v>
      </c>
      <c r="Q5" s="164" t="s">
        <v>88</v>
      </c>
      <c r="R5" s="164" t="s">
        <v>138</v>
      </c>
      <c r="S5" s="164" t="s">
        <v>125</v>
      </c>
      <c r="T5" s="164" t="s">
        <v>126</v>
      </c>
      <c r="U5" s="164" t="s">
        <v>24</v>
      </c>
      <c r="W5" s="1"/>
      <c r="AA5" s="40"/>
    </row>
    <row r="6" spans="1:27" ht="16.5" thickTop="1">
      <c r="A6" s="152"/>
      <c r="B6" s="152"/>
      <c r="C6" s="152"/>
      <c r="D6" s="152"/>
      <c r="E6" s="152"/>
      <c r="F6" s="152"/>
      <c r="G6" s="152"/>
      <c r="H6" s="152"/>
      <c r="I6" s="152"/>
      <c r="M6" s="160">
        <v>1</v>
      </c>
      <c r="N6" s="161" t="s">
        <v>72</v>
      </c>
      <c r="O6" s="162">
        <v>50</v>
      </c>
      <c r="P6" s="162">
        <v>0.5</v>
      </c>
      <c r="Q6" s="162">
        <f>3.14*P6*O6</f>
        <v>78.5</v>
      </c>
      <c r="R6" s="161">
        <f>ROUND(Q6/5,0)</f>
        <v>16</v>
      </c>
      <c r="S6" s="163">
        <v>2</v>
      </c>
      <c r="T6" s="163">
        <v>2</v>
      </c>
      <c r="U6" s="163">
        <v>4</v>
      </c>
      <c r="W6" s="1"/>
      <c r="AA6" s="40"/>
    </row>
    <row r="7" spans="1:27">
      <c r="A7" s="180" t="s">
        <v>0</v>
      </c>
      <c r="B7" s="182" t="s">
        <v>1</v>
      </c>
      <c r="C7" s="183"/>
      <c r="D7" s="180" t="s">
        <v>2</v>
      </c>
      <c r="E7" s="180" t="s">
        <v>3</v>
      </c>
      <c r="F7" s="180" t="s">
        <v>4</v>
      </c>
      <c r="G7" s="10" t="s">
        <v>5</v>
      </c>
      <c r="H7" s="10" t="s">
        <v>6</v>
      </c>
      <c r="I7" s="10" t="s">
        <v>7</v>
      </c>
      <c r="M7" s="136">
        <v>2</v>
      </c>
      <c r="N7" s="137" t="s">
        <v>73</v>
      </c>
      <c r="O7" s="153">
        <v>60</v>
      </c>
      <c r="P7" s="153">
        <v>0.5</v>
      </c>
      <c r="Q7" s="162">
        <f>3.14*P7*O7</f>
        <v>94.2</v>
      </c>
      <c r="R7" s="161">
        <f>ROUND(Q7/5,0)</f>
        <v>19</v>
      </c>
      <c r="S7" s="138">
        <v>2</v>
      </c>
      <c r="T7" s="138">
        <v>2</v>
      </c>
      <c r="U7" s="138">
        <v>4</v>
      </c>
      <c r="W7" s="1"/>
      <c r="AA7" s="40"/>
    </row>
    <row r="8" spans="1:27">
      <c r="A8" s="181"/>
      <c r="B8" s="184"/>
      <c r="C8" s="185"/>
      <c r="D8" s="181"/>
      <c r="E8" s="181"/>
      <c r="F8" s="181"/>
      <c r="G8" s="11" t="s">
        <v>8</v>
      </c>
      <c r="H8" s="11" t="s">
        <v>8</v>
      </c>
      <c r="I8" s="11" t="s">
        <v>8</v>
      </c>
      <c r="M8" s="136"/>
      <c r="N8" s="137"/>
      <c r="O8" s="153"/>
      <c r="P8" s="153"/>
      <c r="Q8" s="153"/>
      <c r="R8" s="137"/>
      <c r="S8" s="138"/>
      <c r="T8" s="138"/>
      <c r="U8" s="138"/>
      <c r="W8" s="1"/>
      <c r="AA8" s="40"/>
    </row>
    <row r="9" spans="1:27">
      <c r="A9" s="10" t="s">
        <v>9</v>
      </c>
      <c r="B9" s="77" t="s">
        <v>23</v>
      </c>
      <c r="C9" s="74"/>
      <c r="D9" s="65"/>
      <c r="E9" s="12"/>
      <c r="F9" s="12"/>
      <c r="G9" s="12"/>
      <c r="H9" s="13"/>
      <c r="I9" s="14"/>
      <c r="N9" s="40"/>
      <c r="O9" s="139">
        <f>SUM(O6:O8)</f>
        <v>110</v>
      </c>
      <c r="P9" s="139"/>
      <c r="Q9" s="139">
        <f>SUM(Q6:Q8)</f>
        <v>172.7</v>
      </c>
      <c r="R9" s="139">
        <f>SUM(R6:R8)</f>
        <v>35</v>
      </c>
      <c r="S9" s="140">
        <f>SUM(S6:S8)</f>
        <v>4</v>
      </c>
      <c r="T9" s="140">
        <f>SUM(T6:T8)</f>
        <v>4</v>
      </c>
      <c r="U9" s="140">
        <f>SUM(U6:U8)</f>
        <v>8</v>
      </c>
      <c r="W9" s="1"/>
      <c r="AA9" s="40"/>
    </row>
    <row r="10" spans="1:27" s="73" customFormat="1" ht="18" customHeight="1">
      <c r="A10" s="69">
        <v>1</v>
      </c>
      <c r="B10" s="174" t="s">
        <v>110</v>
      </c>
      <c r="C10" s="175"/>
      <c r="D10" s="70">
        <f>R9</f>
        <v>35</v>
      </c>
      <c r="E10" s="69" t="s">
        <v>131</v>
      </c>
      <c r="F10" s="69" t="s">
        <v>10</v>
      </c>
      <c r="G10" s="71">
        <v>70000</v>
      </c>
      <c r="H10" s="71">
        <f>+G10*D10</f>
        <v>2450000</v>
      </c>
      <c r="I10" s="72"/>
      <c r="M10" s="132"/>
      <c r="N10" s="40"/>
      <c r="O10" s="132"/>
      <c r="P10" s="40"/>
      <c r="Q10" s="40"/>
      <c r="R10" s="150"/>
      <c r="S10" s="150"/>
      <c r="T10" s="40"/>
      <c r="U10" s="133"/>
      <c r="V10" s="133"/>
      <c r="W10" s="133"/>
      <c r="X10" s="40"/>
      <c r="Y10" s="40"/>
      <c r="Z10" s="84"/>
    </row>
    <row r="11" spans="1:27">
      <c r="A11" s="16">
        <f>+A10+1</f>
        <v>2</v>
      </c>
      <c r="B11" s="49" t="s">
        <v>99</v>
      </c>
      <c r="C11" s="75"/>
      <c r="D11" s="15">
        <f>S9</f>
        <v>4</v>
      </c>
      <c r="E11" s="16" t="s">
        <v>25</v>
      </c>
      <c r="F11" s="16" t="s">
        <v>10</v>
      </c>
      <c r="G11" s="26">
        <v>30000</v>
      </c>
      <c r="H11" s="26">
        <f>+G11*D11</f>
        <v>120000</v>
      </c>
      <c r="I11" s="61"/>
      <c r="N11" s="40"/>
      <c r="O11" s="132"/>
      <c r="P11" s="40"/>
      <c r="Q11" s="40"/>
      <c r="R11" s="150"/>
      <c r="S11" s="150"/>
      <c r="T11" s="40"/>
      <c r="U11" s="133"/>
      <c r="V11" s="133"/>
      <c r="W11" s="133"/>
    </row>
    <row r="12" spans="1:27">
      <c r="A12" s="16">
        <f t="shared" ref="A12:A18" si="0">+A11+1</f>
        <v>3</v>
      </c>
      <c r="B12" s="49" t="s">
        <v>95</v>
      </c>
      <c r="C12" s="75"/>
      <c r="D12" s="15">
        <f>T9</f>
        <v>4</v>
      </c>
      <c r="E12" s="16" t="s">
        <v>25</v>
      </c>
      <c r="F12" s="16" t="s">
        <v>10</v>
      </c>
      <c r="G12" s="26">
        <v>15000</v>
      </c>
      <c r="H12" s="26">
        <f>+G12*D12</f>
        <v>60000</v>
      </c>
      <c r="I12" s="61"/>
    </row>
    <row r="13" spans="1:27">
      <c r="A13" s="16">
        <f t="shared" si="0"/>
        <v>4</v>
      </c>
      <c r="B13" s="49" t="s">
        <v>106</v>
      </c>
      <c r="C13" s="75"/>
      <c r="D13" s="15">
        <v>10</v>
      </c>
      <c r="E13" s="16" t="s">
        <v>109</v>
      </c>
      <c r="F13" s="16" t="s">
        <v>10</v>
      </c>
      <c r="G13" s="26">
        <v>4500</v>
      </c>
      <c r="H13" s="26">
        <f t="shared" ref="H13" si="1">+G13*D13</f>
        <v>45000</v>
      </c>
      <c r="I13" s="61"/>
      <c r="K13" s="1">
        <f>24*3*2</f>
        <v>144</v>
      </c>
      <c r="X13" s="84"/>
    </row>
    <row r="14" spans="1:27">
      <c r="A14" s="16">
        <f t="shared" si="0"/>
        <v>5</v>
      </c>
      <c r="B14" s="49" t="s">
        <v>87</v>
      </c>
      <c r="C14" s="75"/>
      <c r="D14" s="15">
        <v>4</v>
      </c>
      <c r="E14" s="16" t="s">
        <v>25</v>
      </c>
      <c r="F14" s="16" t="s">
        <v>10</v>
      </c>
      <c r="G14" s="26">
        <v>7000</v>
      </c>
      <c r="H14" s="26">
        <f>G14*D14</f>
        <v>28000</v>
      </c>
      <c r="I14" s="61"/>
    </row>
    <row r="15" spans="1:27">
      <c r="A15" s="16">
        <f t="shared" si="0"/>
        <v>6</v>
      </c>
      <c r="B15" s="49" t="s">
        <v>111</v>
      </c>
      <c r="C15" s="75"/>
      <c r="D15" s="15">
        <f>ROUND(D10/3,0)</f>
        <v>12</v>
      </c>
      <c r="E15" s="16" t="s">
        <v>34</v>
      </c>
      <c r="F15" s="16" t="s">
        <v>10</v>
      </c>
      <c r="G15" s="26">
        <v>35000</v>
      </c>
      <c r="H15" s="26">
        <f>+G15*D15</f>
        <v>420000</v>
      </c>
      <c r="I15" s="61"/>
      <c r="K15" s="1">
        <f>24*3*2</f>
        <v>144</v>
      </c>
      <c r="N15" s="40"/>
      <c r="O15" s="132"/>
      <c r="P15" s="40"/>
      <c r="Q15" s="134"/>
      <c r="R15" s="135"/>
      <c r="S15" s="134">
        <f>SUM(O9:R9)</f>
        <v>317.7</v>
      </c>
      <c r="T15" s="134"/>
      <c r="U15" s="134"/>
      <c r="V15" s="134"/>
      <c r="Y15" s="84"/>
    </row>
    <row r="16" spans="1:27">
      <c r="A16" s="16">
        <f t="shared" si="0"/>
        <v>7</v>
      </c>
      <c r="B16" s="49" t="s">
        <v>96</v>
      </c>
      <c r="C16" s="75"/>
      <c r="D16" s="15">
        <f>+D14</f>
        <v>4</v>
      </c>
      <c r="E16" s="16" t="s">
        <v>25</v>
      </c>
      <c r="F16" s="16" t="s">
        <v>10</v>
      </c>
      <c r="G16" s="26">
        <v>15000</v>
      </c>
      <c r="H16" s="26">
        <f t="shared" ref="H16:H18" si="2">+G16*D16</f>
        <v>60000</v>
      </c>
      <c r="I16" s="61"/>
      <c r="K16" s="1">
        <f>24*3*2</f>
        <v>144</v>
      </c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</row>
    <row r="17" spans="1:26 16384:16384">
      <c r="A17" s="16">
        <f t="shared" si="0"/>
        <v>8</v>
      </c>
      <c r="B17" s="49" t="s">
        <v>97</v>
      </c>
      <c r="C17" s="75"/>
      <c r="D17" s="15">
        <f>D16*2</f>
        <v>8</v>
      </c>
      <c r="E17" s="16" t="s">
        <v>25</v>
      </c>
      <c r="F17" s="16" t="s">
        <v>10</v>
      </c>
      <c r="G17" s="26">
        <v>5000</v>
      </c>
      <c r="H17" s="26">
        <f t="shared" si="2"/>
        <v>40000</v>
      </c>
      <c r="I17" s="61"/>
      <c r="K17" s="1">
        <f>24*3*2</f>
        <v>144</v>
      </c>
    </row>
    <row r="18" spans="1:26 16384:16384" s="73" customFormat="1" ht="18" customHeight="1">
      <c r="A18" s="16">
        <f t="shared" si="0"/>
        <v>9</v>
      </c>
      <c r="B18" s="174" t="s">
        <v>107</v>
      </c>
      <c r="C18" s="175"/>
      <c r="D18" s="70">
        <v>4</v>
      </c>
      <c r="E18" s="69" t="s">
        <v>25</v>
      </c>
      <c r="F18" s="69" t="s">
        <v>10</v>
      </c>
      <c r="G18" s="71">
        <v>6000</v>
      </c>
      <c r="H18" s="71">
        <f t="shared" si="2"/>
        <v>24000</v>
      </c>
      <c r="I18" s="72"/>
      <c r="K18" s="73">
        <f>24*3*2</f>
        <v>144</v>
      </c>
      <c r="M18" s="132"/>
      <c r="N18" s="1"/>
      <c r="O18" s="131"/>
      <c r="P18" s="1"/>
      <c r="Q18" s="1"/>
      <c r="R18" s="83"/>
      <c r="S18" s="83"/>
      <c r="T18" s="1"/>
      <c r="U18" s="1"/>
      <c r="V18" s="1"/>
      <c r="W18" s="40"/>
      <c r="X18" s="40"/>
      <c r="Y18" s="40"/>
      <c r="Z18" s="84"/>
    </row>
    <row r="19" spans="1:26 16384:16384">
      <c r="A19" s="45"/>
      <c r="B19" s="49"/>
      <c r="C19" s="75"/>
      <c r="D19" s="18"/>
      <c r="E19" s="16"/>
      <c r="F19" s="16"/>
      <c r="G19" s="17"/>
      <c r="H19" s="46"/>
      <c r="I19" s="47">
        <f>SUM(H10:H19)</f>
        <v>3247000</v>
      </c>
      <c r="K19" s="1">
        <f>21*3*2</f>
        <v>126</v>
      </c>
    </row>
    <row r="20" spans="1:26 16384:16384">
      <c r="A20" s="22" t="s">
        <v>11</v>
      </c>
      <c r="B20" s="77" t="s">
        <v>12</v>
      </c>
      <c r="C20" s="74"/>
      <c r="D20" s="65"/>
      <c r="E20" s="66"/>
      <c r="F20" s="66"/>
      <c r="G20" s="67"/>
      <c r="H20" s="17"/>
      <c r="I20" s="63"/>
      <c r="X20" s="155"/>
    </row>
    <row r="21" spans="1:26 16384:16384">
      <c r="A21" s="25">
        <v>1</v>
      </c>
      <c r="B21" s="49" t="s">
        <v>132</v>
      </c>
      <c r="C21" s="75"/>
      <c r="D21" s="15">
        <f>U9</f>
        <v>8</v>
      </c>
      <c r="E21" s="16" t="s">
        <v>21</v>
      </c>
      <c r="F21" s="16" t="s">
        <v>19</v>
      </c>
      <c r="G21" s="23">
        <v>129950</v>
      </c>
      <c r="H21" s="23">
        <f>G21*D21</f>
        <v>1039600</v>
      </c>
      <c r="I21" s="24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9"/>
    </row>
    <row r="22" spans="1:26 16384:16384">
      <c r="A22" s="25">
        <v>2</v>
      </c>
      <c r="B22" s="49" t="s">
        <v>133</v>
      </c>
      <c r="C22" s="75"/>
      <c r="D22" s="15">
        <f>D21</f>
        <v>8</v>
      </c>
      <c r="E22" s="16" t="s">
        <v>21</v>
      </c>
      <c r="F22" s="16" t="s">
        <v>19</v>
      </c>
      <c r="G22" s="23">
        <v>108480</v>
      </c>
      <c r="H22" s="23">
        <f>G22*D22</f>
        <v>867840</v>
      </c>
      <c r="I22" s="24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9"/>
    </row>
    <row r="23" spans="1:26 16384:16384">
      <c r="A23" s="25">
        <v>3</v>
      </c>
      <c r="B23" s="49" t="s">
        <v>26</v>
      </c>
      <c r="C23" s="75"/>
      <c r="D23" s="15" t="s">
        <v>21</v>
      </c>
      <c r="E23" s="16" t="s">
        <v>21</v>
      </c>
      <c r="F23" s="16" t="s">
        <v>19</v>
      </c>
      <c r="G23" s="23">
        <v>100000</v>
      </c>
      <c r="H23" s="23">
        <f>G23</f>
        <v>100000</v>
      </c>
      <c r="I23" s="24"/>
      <c r="N23" s="156"/>
      <c r="O23" s="157"/>
      <c r="P23" s="156"/>
      <c r="Q23" s="156"/>
      <c r="R23" s="158"/>
      <c r="S23" s="158"/>
      <c r="T23" s="156"/>
      <c r="U23" s="156"/>
      <c r="V23" s="156"/>
      <c r="W23" s="159"/>
      <c r="X23" s="159"/>
    </row>
    <row r="24" spans="1:26 16384:16384">
      <c r="A24" s="25"/>
      <c r="B24" s="78"/>
      <c r="C24" s="76"/>
      <c r="D24" s="26"/>
      <c r="E24" s="16"/>
      <c r="F24" s="16"/>
      <c r="G24" s="23"/>
      <c r="H24" s="23"/>
      <c r="I24" s="39">
        <f>SUM(H21:H23)</f>
        <v>2007440</v>
      </c>
      <c r="N24" s="156"/>
      <c r="O24" s="157"/>
      <c r="P24" s="156"/>
      <c r="Q24" s="156"/>
      <c r="R24" s="158"/>
      <c r="S24" s="158"/>
      <c r="T24" s="156"/>
      <c r="U24" s="156"/>
      <c r="V24" s="156"/>
      <c r="W24" s="159"/>
      <c r="X24" s="155"/>
      <c r="Y24" s="84"/>
      <c r="XFD24" s="1">
        <f>SUM(A24:XFC24)</f>
        <v>2007440</v>
      </c>
    </row>
    <row r="25" spans="1:26 16384:16384">
      <c r="A25" s="27"/>
      <c r="B25" s="19"/>
      <c r="C25" s="19"/>
      <c r="D25" s="80"/>
      <c r="E25" s="28"/>
      <c r="F25" s="42"/>
      <c r="G25" s="42" t="s">
        <v>13</v>
      </c>
      <c r="H25" s="44"/>
      <c r="I25" s="41">
        <f>I19+I24</f>
        <v>5254440</v>
      </c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</row>
    <row r="26" spans="1:26 16384:16384">
      <c r="A26" s="49"/>
      <c r="B26" s="50"/>
      <c r="C26" s="50"/>
      <c r="D26" s="51"/>
      <c r="E26" s="51"/>
      <c r="F26" s="52"/>
      <c r="G26" s="48"/>
      <c r="H26" s="60"/>
      <c r="I26" s="68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</row>
    <row r="27" spans="1:26 16384:16384">
      <c r="A27" s="29"/>
      <c r="B27" s="30"/>
      <c r="C27" s="30"/>
      <c r="D27" s="20"/>
      <c r="E27" s="20"/>
      <c r="F27" s="21"/>
      <c r="G27" s="43"/>
      <c r="H27" s="31"/>
      <c r="I27" s="53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</row>
    <row r="28" spans="1:26 16384:16384">
      <c r="A28" s="32"/>
      <c r="B28" s="33" t="s">
        <v>30</v>
      </c>
      <c r="C28" s="33"/>
      <c r="D28" s="81"/>
      <c r="E28" s="33"/>
      <c r="F28" s="33"/>
      <c r="G28" s="34"/>
      <c r="H28" s="54" t="s">
        <v>14</v>
      </c>
      <c r="I28" s="13">
        <f>I25</f>
        <v>5254440</v>
      </c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</row>
    <row r="29" spans="1:26 16384:16384">
      <c r="A29" s="35"/>
      <c r="B29" s="79" t="str">
        <f>+M37</f>
        <v>Lima Juta Dua Ratus Lima Puluh Empat Ribu Empat Ratus Rupiah</v>
      </c>
      <c r="C29" s="36"/>
      <c r="D29" s="82"/>
      <c r="E29" s="37"/>
      <c r="F29" s="37"/>
      <c r="G29" s="38"/>
      <c r="H29" s="55" t="s">
        <v>15</v>
      </c>
      <c r="I29" s="39">
        <f>ROUND(I28,-2)</f>
        <v>5254400</v>
      </c>
      <c r="M29" s="145">
        <f>+I29</f>
        <v>5254400</v>
      </c>
      <c r="N29" s="147">
        <v>1</v>
      </c>
      <c r="O29" s="147">
        <f>+N29*10</f>
        <v>10</v>
      </c>
      <c r="P29" s="147">
        <f t="shared" ref="P29" si="3">+O29*10</f>
        <v>100</v>
      </c>
      <c r="Q29" s="147">
        <f t="shared" ref="Q29" si="4">+P29*10</f>
        <v>1000</v>
      </c>
      <c r="R29" s="147">
        <f t="shared" ref="R29" si="5">+Q29*10</f>
        <v>10000</v>
      </c>
      <c r="S29" s="147">
        <f t="shared" ref="S29" si="6">+R29*10</f>
        <v>100000</v>
      </c>
      <c r="T29" s="147">
        <f t="shared" ref="T29" si="7">+S29*10</f>
        <v>1000000</v>
      </c>
      <c r="U29" s="147">
        <f t="shared" ref="U29" si="8">+T29*10</f>
        <v>10000000</v>
      </c>
      <c r="V29" s="147">
        <f t="shared" ref="V29" si="9">+U29*10</f>
        <v>100000000</v>
      </c>
      <c r="W29" s="147">
        <f t="shared" ref="W29" si="10">+V29*10</f>
        <v>1000000000</v>
      </c>
      <c r="X29" s="155"/>
    </row>
    <row r="30" spans="1:26 16384:16384">
      <c r="A30" s="2"/>
      <c r="B30" s="2"/>
      <c r="C30" s="2"/>
      <c r="D30" s="52"/>
      <c r="E30" s="2"/>
      <c r="F30" s="2"/>
      <c r="G30" s="2"/>
      <c r="H30" s="2"/>
      <c r="I30" s="3"/>
      <c r="M30" s="146" t="s">
        <v>128</v>
      </c>
      <c r="N30" s="147">
        <v>0</v>
      </c>
      <c r="O30" s="148">
        <f>MOD(M29,O29)</f>
        <v>0</v>
      </c>
      <c r="P30" s="148">
        <f>MOD(M29,P29)</f>
        <v>0</v>
      </c>
      <c r="Q30" s="148">
        <f>MOD(M29,Q29)</f>
        <v>400</v>
      </c>
      <c r="R30" s="148">
        <f>MOD(M29,R29)</f>
        <v>4400</v>
      </c>
      <c r="S30" s="148">
        <f>MOD(M29,S29)</f>
        <v>54400</v>
      </c>
      <c r="T30" s="148">
        <f>MOD(M29,T29)</f>
        <v>254400</v>
      </c>
      <c r="U30" s="148">
        <f>MOD(M29,U29)</f>
        <v>5254400</v>
      </c>
      <c r="V30" s="148">
        <f>MOD(M29,V29)</f>
        <v>5254400</v>
      </c>
      <c r="W30" s="148">
        <f>MOD(M29,W29)</f>
        <v>5254400</v>
      </c>
      <c r="X30" s="155"/>
    </row>
    <row r="31" spans="1:26 16384:16384">
      <c r="A31" s="4"/>
      <c r="B31" s="4"/>
      <c r="C31" s="4"/>
      <c r="D31" s="149"/>
      <c r="E31" s="4"/>
      <c r="F31" s="4"/>
      <c r="G31" s="4"/>
      <c r="H31" s="173" t="s">
        <v>139</v>
      </c>
      <c r="I31" s="173"/>
      <c r="M31" s="147"/>
      <c r="N31" s="147"/>
      <c r="O31" s="147">
        <f t="shared" ref="O31" si="11">+O30-N30</f>
        <v>0</v>
      </c>
      <c r="P31" s="147">
        <f t="shared" ref="P31" si="12">+P30-O30</f>
        <v>0</v>
      </c>
      <c r="Q31" s="147">
        <f t="shared" ref="Q31" si="13">+Q30-P30</f>
        <v>400</v>
      </c>
      <c r="R31" s="147">
        <f t="shared" ref="R31" si="14">+R30-Q30</f>
        <v>4000</v>
      </c>
      <c r="S31" s="147">
        <f t="shared" ref="S31" si="15">+S30-R30</f>
        <v>50000</v>
      </c>
      <c r="T31" s="147">
        <f t="shared" ref="T31" si="16">+T30-S30</f>
        <v>200000</v>
      </c>
      <c r="U31" s="147">
        <f>+U30-T30</f>
        <v>5000000</v>
      </c>
      <c r="V31" s="147">
        <f t="shared" ref="V31" si="17">+V30-U30</f>
        <v>0</v>
      </c>
      <c r="W31" s="147">
        <f t="shared" ref="W31" si="18">+W30-V30</f>
        <v>0</v>
      </c>
    </row>
    <row r="32" spans="1:26 16384:16384">
      <c r="A32" s="173" t="s">
        <v>16</v>
      </c>
      <c r="B32" s="173"/>
      <c r="C32" s="173"/>
      <c r="D32" s="173" t="s">
        <v>31</v>
      </c>
      <c r="E32" s="173"/>
      <c r="F32" s="173"/>
      <c r="G32" s="173"/>
      <c r="H32" s="173" t="s">
        <v>17</v>
      </c>
      <c r="I32" s="173"/>
      <c r="M32" s="147"/>
      <c r="N32" s="147"/>
      <c r="O32" s="147">
        <f t="shared" ref="O32:T32" si="19">+O31*10/O29</f>
        <v>0</v>
      </c>
      <c r="P32" s="147">
        <f t="shared" si="19"/>
        <v>0</v>
      </c>
      <c r="Q32" s="147">
        <f t="shared" si="19"/>
        <v>4</v>
      </c>
      <c r="R32" s="147">
        <f t="shared" si="19"/>
        <v>4</v>
      </c>
      <c r="S32" s="147">
        <f t="shared" si="19"/>
        <v>5</v>
      </c>
      <c r="T32" s="147">
        <f t="shared" si="19"/>
        <v>2</v>
      </c>
      <c r="U32" s="147">
        <f>+U31*10/U29</f>
        <v>5</v>
      </c>
      <c r="V32" s="147">
        <f t="shared" ref="V32:W32" si="20">+V31*10/V29</f>
        <v>0</v>
      </c>
      <c r="W32" s="147">
        <f t="shared" si="20"/>
        <v>0</v>
      </c>
    </row>
    <row r="33" spans="1:23">
      <c r="A33" s="4"/>
      <c r="B33" s="4"/>
      <c r="C33" s="4"/>
      <c r="D33" s="149"/>
      <c r="E33" s="4"/>
      <c r="F33" s="4"/>
      <c r="G33" s="4"/>
      <c r="H33" s="4"/>
      <c r="I33" s="4"/>
      <c r="M33" s="147"/>
      <c r="N33" s="147"/>
      <c r="O33" s="147" t="str">
        <f>IF(AND(O32&gt;0,P32&lt;&gt;1),CHOOSE(O32,"satu","dua","tiga","empat","lima","enam","tujuh","delapan","sembilan"),"")</f>
        <v/>
      </c>
      <c r="P33" s="147" t="str">
        <f>IF(P32&gt;0,CHOOSE(P32,CHOOSE(O32+1,"se","se","dua","tiga","empat","lima","enam","tujuh","delapan","sembilan"),"dua","tiga","empat","lima","enam","tujuh","delapan","sembilan"),"")</f>
        <v/>
      </c>
      <c r="Q33" s="147" t="str">
        <f>IF(Q32&gt;0,CHOOSE(Q32,"se","dua","tiga","empat","lima","enam","tujuh","delapan","sembilan"),"")</f>
        <v>empat</v>
      </c>
      <c r="R33" s="147" t="str">
        <f>IF(AND(R32&gt;0,S32&lt;&gt;1),CHOOSE(R32,"satu","dua","tiga","empat","lima","enam","tujuh","delapan","sembilan"),"")</f>
        <v>empat</v>
      </c>
      <c r="S33" s="147" t="str">
        <f>IF(S32&gt;0,CHOOSE(S32,CHOOSE(R32+1,"se","se","dua","tiga","empat","lima","enam","tujuh","delapan","sembilan"),"dua","tiga","empat","lima","enam","tujuh","delapan","sembilan"),"")</f>
        <v>lima</v>
      </c>
      <c r="T33" s="147" t="str">
        <f>IF(T32&gt;0,CHOOSE(T32,"se","dua","tiga","empat","lima","enam","tujuh","delapan","sembilan"),"")</f>
        <v>dua</v>
      </c>
      <c r="U33" s="147" t="str">
        <f>IF(AND(U32&gt;0,V32&lt;&gt;1),CHOOSE(U32,"satu","dua","tiga","empat","lima","enam","tujuh","delapan","sembilan"),"")</f>
        <v>lima</v>
      </c>
      <c r="V33" s="147" t="str">
        <f>IF(V32&gt;0,CHOOSE(V32,CHOOSE(U32+1,"","se","dua","tiga","empat","lima","enam","tujuh","delapan","sembilan"),"dua","tiga","empat","lima","enam","tujuh","delapan","sembilan"),"")</f>
        <v/>
      </c>
      <c r="W33" s="147" t="str">
        <f>IF(W32&gt;0,CHOOSE(W32,"se","dua","tiga","empat","lima","enam","tujuh","delapan","sembilan"),"")</f>
        <v/>
      </c>
    </row>
    <row r="34" spans="1:23">
      <c r="A34" s="4"/>
      <c r="B34" s="4"/>
      <c r="C34" s="4"/>
      <c r="D34" s="149"/>
      <c r="E34" s="4"/>
      <c r="F34" s="4"/>
      <c r="G34" s="4"/>
      <c r="H34" s="4"/>
      <c r="I34" s="4"/>
      <c r="M34" s="147"/>
      <c r="N34" s="147"/>
      <c r="O34" s="147"/>
      <c r="P34" s="147" t="str">
        <f>IF(P32&gt;0,IF(AND(P32=1,O32&gt;0)," belas "," puluh "),"")</f>
        <v/>
      </c>
      <c r="Q34" s="147" t="str">
        <f>IF(Q32&gt;0," ratus ","")</f>
        <v xml:space="preserve"> ratus </v>
      </c>
      <c r="R34" s="147" t="str">
        <f>IF(SUM(R32,T32)&gt;0," ribu ","")</f>
        <v xml:space="preserve"> ribu </v>
      </c>
      <c r="S34" s="147" t="str">
        <f>IF(S32&gt;0,IF(AND(S32=1,R32&gt;0)," belas "," puluh "),"")</f>
        <v xml:space="preserve"> puluh </v>
      </c>
      <c r="T34" s="147" t="str">
        <f>IF(T32&gt;0," ratus ","")</f>
        <v xml:space="preserve"> ratus </v>
      </c>
      <c r="U34" s="147" t="str">
        <f>IF(SUM(U32,W32)&gt;0," juta ","")</f>
        <v xml:space="preserve"> juta </v>
      </c>
      <c r="V34" s="147" t="str">
        <f>IF(V32&gt;0,IF(AND(V32=1,U32&gt;0)," belas "," puluh "),"")</f>
        <v/>
      </c>
      <c r="W34" s="147" t="str">
        <f>IF(W32&gt;0," ratus ","")</f>
        <v/>
      </c>
    </row>
    <row r="35" spans="1:23">
      <c r="A35" s="4"/>
      <c r="B35" s="4"/>
      <c r="C35" s="4"/>
      <c r="D35" s="149"/>
      <c r="E35" s="4"/>
      <c r="F35" s="4"/>
      <c r="G35" s="4"/>
      <c r="H35" s="4"/>
      <c r="I35" s="4"/>
      <c r="M35" s="147"/>
      <c r="N35" s="147"/>
      <c r="O35" s="147" t="str">
        <f>CONCATENATE(O33,O28)</f>
        <v/>
      </c>
      <c r="P35" s="147" t="str">
        <f t="shared" ref="P35:W35" si="21">CONCATENATE(P33,P34)</f>
        <v/>
      </c>
      <c r="Q35" s="147" t="str">
        <f t="shared" si="21"/>
        <v xml:space="preserve">empat ratus </v>
      </c>
      <c r="R35" s="147" t="str">
        <f t="shared" si="21"/>
        <v xml:space="preserve">empat ribu </v>
      </c>
      <c r="S35" s="147" t="str">
        <f t="shared" si="21"/>
        <v xml:space="preserve">lima puluh </v>
      </c>
      <c r="T35" s="147" t="str">
        <f t="shared" si="21"/>
        <v xml:space="preserve">dua ratus </v>
      </c>
      <c r="U35" s="147" t="str">
        <f t="shared" si="21"/>
        <v xml:space="preserve">lima juta </v>
      </c>
      <c r="V35" s="147" t="str">
        <f t="shared" si="21"/>
        <v/>
      </c>
      <c r="W35" s="147" t="str">
        <f t="shared" si="21"/>
        <v/>
      </c>
    </row>
    <row r="36" spans="1:23">
      <c r="A36" s="176" t="s">
        <v>129</v>
      </c>
      <c r="B36" s="176"/>
      <c r="C36" s="176"/>
      <c r="D36" s="176" t="s">
        <v>38</v>
      </c>
      <c r="E36" s="176"/>
      <c r="F36" s="176"/>
      <c r="G36" s="176"/>
      <c r="H36" s="176" t="s">
        <v>39</v>
      </c>
      <c r="I36" s="176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</row>
    <row r="37" spans="1:23">
      <c r="A37" s="173" t="s">
        <v>37</v>
      </c>
      <c r="B37" s="173"/>
      <c r="C37" s="173"/>
      <c r="D37" s="173" t="s">
        <v>33</v>
      </c>
      <c r="E37" s="173"/>
      <c r="F37" s="173"/>
      <c r="G37" s="173"/>
      <c r="H37" s="173" t="s">
        <v>18</v>
      </c>
      <c r="I37" s="173"/>
      <c r="M37" s="146" t="str">
        <f>PROPER(CONCATENATE(W35,V35,U35,T35,S35,R35,Q35,P35,O35,M30))</f>
        <v>Lima Juta Dua Ratus Lima Puluh Empat Ribu Empat Ratus Rupiah</v>
      </c>
      <c r="N37" s="147"/>
      <c r="O37" s="147"/>
      <c r="P37" s="147"/>
      <c r="Q37" s="147"/>
      <c r="R37" s="147"/>
      <c r="S37" s="147"/>
      <c r="T37" s="147"/>
      <c r="U37" s="147"/>
      <c r="V37" s="147"/>
      <c r="W37" s="147"/>
    </row>
  </sheetData>
  <mergeCells count="20">
    <mergeCell ref="B3:I3"/>
    <mergeCell ref="B4:I4"/>
    <mergeCell ref="B5:I5"/>
    <mergeCell ref="A7:A8"/>
    <mergeCell ref="B7:C8"/>
    <mergeCell ref="D7:D8"/>
    <mergeCell ref="E7:E8"/>
    <mergeCell ref="F7:F8"/>
    <mergeCell ref="A37:C37"/>
    <mergeCell ref="D37:G37"/>
    <mergeCell ref="H37:I37"/>
    <mergeCell ref="B10:C10"/>
    <mergeCell ref="B18:C18"/>
    <mergeCell ref="H31:I31"/>
    <mergeCell ref="A32:C32"/>
    <mergeCell ref="D32:G32"/>
    <mergeCell ref="H32:I32"/>
    <mergeCell ref="A36:C36"/>
    <mergeCell ref="D36:G36"/>
    <mergeCell ref="H36:I36"/>
  </mergeCells>
  <printOptions horizontalCentered="1"/>
  <pageMargins left="0.43307086614173229" right="0.47244094488188981" top="0.82677165354330717" bottom="0.55118110236220474" header="1.7716535433070868" footer="0.74803149606299213"/>
  <pageSetup paperSize="9" scale="76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BreakDown Tangki</vt:lpstr>
      <vt:lpstr>rab 2021</vt:lpstr>
      <vt:lpstr>'BreakDown Tangki'!Print_Area</vt:lpstr>
      <vt:lpstr>'rab 2021'!Print_Area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2022-10-19T01:52:55Z</cp:lastPrinted>
  <dcterms:created xsi:type="dcterms:W3CDTF">2012-03-21T04:38:16Z</dcterms:created>
  <dcterms:modified xsi:type="dcterms:W3CDTF">2022-10-19T02:08:21Z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