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5" yWindow="-15" windowWidth="10260" windowHeight="8115"/>
  </bookViews>
  <sheets>
    <sheet name="rab 2018" sheetId="8" r:id="rId1"/>
    <sheet name="AlDas " sheetId="13" r:id="rId2"/>
    <sheet name="breakdown" sheetId="14" r:id="rId3"/>
    <sheet name="Sheet1" sheetId="15" r:id="rId4"/>
  </sheets>
  <definedNames>
    <definedName name="_xlnm.Print_Area" localSheetId="1">'AlDas '!$C$1:$M$218</definedName>
    <definedName name="_xlnm.Print_Area" localSheetId="0">'rab 2018'!$A$2:$I$28</definedName>
  </definedNames>
  <calcPr calcId="125725"/>
</workbook>
</file>

<file path=xl/calcChain.xml><?xml version="1.0" encoding="utf-8"?>
<calcChain xmlns="http://schemas.openxmlformats.org/spreadsheetml/2006/main">
  <c r="A12" i="8"/>
  <c r="A11"/>
  <c r="N11"/>
  <c r="H11"/>
  <c r="P18"/>
  <c r="Q18" s="1"/>
  <c r="R18" s="1"/>
  <c r="S18" s="1"/>
  <c r="T18" l="1"/>
  <c r="U18" l="1"/>
  <c r="V18" l="1"/>
  <c r="W18" l="1"/>
  <c r="X18" l="1"/>
  <c r="A10" l="1"/>
  <c r="N10"/>
  <c r="H10"/>
  <c r="A13" l="1"/>
  <c r="A14" s="1"/>
  <c r="G14" i="15"/>
  <c r="N17" i="8" l="1"/>
  <c r="N9"/>
  <c r="K17"/>
  <c r="H17"/>
  <c r="K16"/>
  <c r="H16"/>
  <c r="K15"/>
  <c r="H15"/>
  <c r="D14"/>
  <c r="H14" s="1"/>
  <c r="H13"/>
  <c r="H12"/>
  <c r="A15"/>
  <c r="A16" s="1"/>
  <c r="M9"/>
  <c r="H9"/>
  <c r="AN35" i="14"/>
  <c r="AN32"/>
  <c r="AC35" s="1"/>
  <c r="R39" s="1"/>
  <c r="AC32"/>
  <c r="N12" i="8" l="1"/>
  <c r="N14" s="1"/>
  <c r="A17"/>
  <c r="I18"/>
  <c r="I19" s="1"/>
  <c r="N13" l="1"/>
  <c r="I20"/>
  <c r="K20" l="1"/>
  <c r="N18"/>
  <c r="N15"/>
  <c r="P19" l="1"/>
  <c r="P20" s="1"/>
  <c r="P21" s="1"/>
  <c r="R19"/>
  <c r="Q19"/>
  <c r="S19"/>
  <c r="T19"/>
  <c r="U19"/>
  <c r="V19"/>
  <c r="W19"/>
  <c r="X19"/>
  <c r="R20" l="1"/>
  <c r="R21" s="1"/>
  <c r="R22" s="1"/>
  <c r="X20"/>
  <c r="X21" s="1"/>
  <c r="X23" s="1"/>
  <c r="T20"/>
  <c r="T21" s="1"/>
  <c r="T22" s="1"/>
  <c r="W20"/>
  <c r="W21" s="1"/>
  <c r="S20"/>
  <c r="S21" s="1"/>
  <c r="T23" s="1"/>
  <c r="U20"/>
  <c r="U21" s="1"/>
  <c r="V20"/>
  <c r="V21" s="1"/>
  <c r="Q20"/>
  <c r="Q21" s="1"/>
  <c r="P22" s="1"/>
  <c r="P24" s="1"/>
  <c r="W22" l="1"/>
  <c r="R23"/>
  <c r="R24" s="1"/>
  <c r="S23"/>
  <c r="X22"/>
  <c r="X24" s="1"/>
  <c r="T24"/>
  <c r="S22"/>
  <c r="V22"/>
  <c r="V23"/>
  <c r="Q22"/>
  <c r="Q23"/>
  <c r="U23"/>
  <c r="U22"/>
  <c r="W23"/>
  <c r="W24" s="1"/>
  <c r="S24" l="1"/>
  <c r="V24"/>
  <c r="Q24"/>
  <c r="U24"/>
  <c r="N26" l="1"/>
  <c r="B20" s="1"/>
</calcChain>
</file>

<file path=xl/sharedStrings.xml><?xml version="1.0" encoding="utf-8"?>
<sst xmlns="http://schemas.openxmlformats.org/spreadsheetml/2006/main" count="82" uniqueCount="61">
  <si>
    <t>NO</t>
  </si>
  <si>
    <t>URAIAN PEKERJAAN</t>
  </si>
  <si>
    <t>VOL</t>
  </si>
  <si>
    <t>SAT</t>
  </si>
  <si>
    <t>ANL</t>
  </si>
  <si>
    <t>HRG. SAT.</t>
  </si>
  <si>
    <t>JLH. HARGA</t>
  </si>
  <si>
    <t>SUB TOTAL</t>
  </si>
  <si>
    <t>( Rp )</t>
  </si>
  <si>
    <t>I</t>
  </si>
  <si>
    <t>Hitung</t>
  </si>
  <si>
    <t>Grand Total</t>
  </si>
  <si>
    <t>Dibulatkan</t>
  </si>
  <si>
    <t>Disyahkan oleh :</t>
  </si>
  <si>
    <t>Diketahui oleh :</t>
  </si>
  <si>
    <t>Dihitung oleh,</t>
  </si>
  <si>
    <t>Ls</t>
  </si>
  <si>
    <t>RENCANA ANGGARAN BIAYA PEKERJAAN</t>
  </si>
  <si>
    <t>MATERIAL</t>
  </si>
  <si>
    <t xml:space="preserve">Terbilang : </t>
  </si>
  <si>
    <t>Kadiv. Perencanaan Air Minum</t>
  </si>
  <si>
    <t xml:space="preserve">Luas lantai </t>
  </si>
  <si>
    <t>= 7.8 x 3.0</t>
  </si>
  <si>
    <t>=</t>
  </si>
  <si>
    <t>m2</t>
  </si>
  <si>
    <t>Luas dinding tapak</t>
  </si>
  <si>
    <t>= 4 x ((2 x 0,18 x 0,92) + (2 x 0,18 x 1,7))</t>
  </si>
  <si>
    <t>Luas dinding gedung</t>
  </si>
  <si>
    <t>(tinggi 0.5 m)</t>
  </si>
  <si>
    <t>Luas Total</t>
  </si>
  <si>
    <t>= (2 x 0,5 x 3,0) + (2 x 0,5 x 7,8)</t>
  </si>
  <si>
    <t>Tapak Pompa</t>
  </si>
  <si>
    <t>bh</t>
  </si>
  <si>
    <t>kg</t>
  </si>
  <si>
    <t>Per kg cat untuk 6 m2. Pengecatan 3 lapis.</t>
  </si>
  <si>
    <t xml:space="preserve">Kebutuhan cat </t>
  </si>
  <si>
    <t>(38 * 3) / 6</t>
  </si>
  <si>
    <t>pembulatan =&gt;</t>
  </si>
  <si>
    <t>20 kg</t>
  </si>
  <si>
    <t>Relay Omron MKS2P 220 Volt + Socket (Original) + Jasa pemasangan di panel pompa</t>
  </si>
  <si>
    <t>Box Panel 60 x 40 x 20 cm</t>
  </si>
  <si>
    <t>Kabel Cat5e Belden Ori</t>
  </si>
  <si>
    <t>Asesoris pemasangan (Isolasi, kabel power, terminal, kabel UTP, paku klem, fisher)</t>
  </si>
  <si>
    <t>Unit</t>
  </si>
  <si>
    <t>pcs</t>
  </si>
  <si>
    <t>roll</t>
  </si>
  <si>
    <t>Rupiah</t>
  </si>
  <si>
    <t>Nurleli</t>
  </si>
  <si>
    <t>...........................................</t>
  </si>
  <si>
    <t>Kabel Eterna NYYHY 2 x 0.75 (1 roll = 50m)</t>
  </si>
  <si>
    <t>Controller Open Source ATMEL ATMega328P, 6ch Analog Input + 12ch Digital Input, termasuk perakitan dan pemrograman unit.</t>
  </si>
  <si>
    <t xml:space="preserve">PERBAIKAN SYSTEM SCADA </t>
  </si>
  <si>
    <t>LOKASI: FWP PUMP STATION IPA DELITUA</t>
  </si>
  <si>
    <t>Radio Bridge Access Point
TP-Link CPE-220</t>
  </si>
  <si>
    <t>meter</t>
  </si>
  <si>
    <t>Pipa galvanis 1" (tiang antena), termasuk pemasangan tiang  di lokasi</t>
  </si>
  <si>
    <t>Medan,     Januari 2022</t>
  </si>
  <si>
    <t>Azanil</t>
  </si>
  <si>
    <t>Ka. IPA Delitua</t>
  </si>
  <si>
    <t>Kabag. ME</t>
  </si>
  <si>
    <t>Router Access Point
TP-Link WR840N</t>
  </si>
</sst>
</file>

<file path=xl/styles.xml><?xml version="1.0" encoding="utf-8"?>
<styleSheet xmlns="http://schemas.openxmlformats.org/spreadsheetml/2006/main">
  <numFmts count="5">
    <numFmt numFmtId="41" formatCode="_(* #,##0_);_(* \(#,##0\);_(* &quot;-&quot;_);_(@_)"/>
    <numFmt numFmtId="43" formatCode="_(* #,##0.00_);_(* \(#,##0.00\);_(* &quot;-&quot;??_);_(@_)"/>
    <numFmt numFmtId="164" formatCode="_-* #,##0.00_-;\-* #,##0.00_-;_-* &quot;-&quot;??_-;_-@_-"/>
    <numFmt numFmtId="165" formatCode="0.0"/>
    <numFmt numFmtId="166" formatCode="_(* #,##0.00000_);_(* \(#,##0.00000\);_(* &quot;-&quot;??_);_(@_)"/>
  </numFmts>
  <fonts count="32">
    <font>
      <sz val="11"/>
      <color indexed="8"/>
      <name val="Calibri"/>
    </font>
    <font>
      <sz val="11"/>
      <color theme="1"/>
      <name val="Calibri"/>
      <family val="2"/>
      <charset val="1"/>
      <scheme val="minor"/>
    </font>
    <font>
      <b/>
      <sz val="18"/>
      <color indexed="56"/>
      <name val="Cambria"/>
      <family val="1"/>
    </font>
    <font>
      <sz val="11"/>
      <color indexed="52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0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8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i/>
      <sz val="11"/>
      <color indexed="23"/>
      <name val="Calibri"/>
      <family val="2"/>
    </font>
    <font>
      <b/>
      <sz val="11"/>
      <color indexed="9"/>
      <name val="Calibri"/>
      <family val="2"/>
    </font>
    <font>
      <sz val="9"/>
      <color indexed="8"/>
      <name val="Calibri"/>
      <family val="2"/>
    </font>
    <font>
      <b/>
      <sz val="12"/>
      <name val="Calibri"/>
      <family val="2"/>
    </font>
    <font>
      <b/>
      <u/>
      <sz val="12"/>
      <name val="Calibri"/>
      <family val="2"/>
    </font>
    <font>
      <sz val="12"/>
      <name val="Calibri"/>
      <family val="2"/>
    </font>
    <font>
      <b/>
      <sz val="16"/>
      <name val="Calibri"/>
      <family val="2"/>
    </font>
    <font>
      <sz val="11"/>
      <color indexed="8"/>
      <name val="Calibri"/>
      <family val="2"/>
    </font>
    <font>
      <b/>
      <sz val="20"/>
      <name val="Calibri"/>
      <family val="2"/>
    </font>
    <font>
      <b/>
      <sz val="22"/>
      <name val="Calibri"/>
      <family val="2"/>
    </font>
    <font>
      <b/>
      <sz val="26"/>
      <name val="Calibri"/>
      <family val="2"/>
    </font>
    <font>
      <i/>
      <sz val="12"/>
      <name val="Calibri"/>
      <family val="2"/>
    </font>
    <font>
      <b/>
      <i/>
      <sz val="12"/>
      <name val="Calibri"/>
      <family val="2"/>
    </font>
    <font>
      <sz val="12"/>
      <color indexed="8"/>
      <name val="Calibri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</fills>
  <borders count="5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ashDotDot">
        <color indexed="64"/>
      </top>
      <bottom/>
      <diagonal/>
    </border>
    <border>
      <left/>
      <right/>
      <top style="dashDotDot">
        <color indexed="64"/>
      </top>
      <bottom/>
      <diagonal/>
    </border>
    <border>
      <left/>
      <right style="medium">
        <color indexed="64"/>
      </right>
      <top style="dashDotDot">
        <color indexed="64"/>
      </top>
      <bottom/>
      <diagonal/>
    </border>
    <border>
      <left style="double">
        <color indexed="64"/>
      </left>
      <right/>
      <top/>
      <bottom style="dashDotDot">
        <color indexed="64"/>
      </bottom>
      <diagonal/>
    </border>
    <border>
      <left/>
      <right/>
      <top/>
      <bottom style="dashDotDot">
        <color indexed="64"/>
      </bottom>
      <diagonal/>
    </border>
    <border>
      <left/>
      <right style="medium">
        <color indexed="64"/>
      </right>
      <top/>
      <bottom style="dashDotDot">
        <color indexed="64"/>
      </bottom>
      <diagonal/>
    </border>
    <border>
      <left/>
      <right style="dashDot">
        <color indexed="64"/>
      </right>
      <top style="medium">
        <color indexed="64"/>
      </top>
      <bottom/>
      <diagonal/>
    </border>
    <border>
      <left/>
      <right style="dashDot">
        <color indexed="64"/>
      </right>
      <top/>
      <bottom/>
      <diagonal/>
    </border>
    <border>
      <left/>
      <right style="dashDot">
        <color indexed="64"/>
      </right>
      <top/>
      <bottom style="thin">
        <color indexed="64"/>
      </bottom>
      <diagonal/>
    </border>
    <border>
      <left/>
      <right style="dashDot">
        <color indexed="64"/>
      </right>
      <top style="thin">
        <color indexed="64"/>
      </top>
      <bottom/>
      <diagonal/>
    </border>
    <border>
      <left style="dashDot">
        <color indexed="64"/>
      </left>
      <right/>
      <top style="dashDot">
        <color indexed="64"/>
      </top>
      <bottom style="thin">
        <color indexed="64"/>
      </bottom>
      <diagonal/>
    </border>
    <border>
      <left/>
      <right/>
      <top style="dashDot">
        <color indexed="64"/>
      </top>
      <bottom style="thin">
        <color indexed="64"/>
      </bottom>
      <diagonal/>
    </border>
    <border>
      <left/>
      <right style="double">
        <color indexed="64"/>
      </right>
      <top style="dashDot">
        <color indexed="64"/>
      </top>
      <bottom style="thin">
        <color indexed="64"/>
      </bottom>
      <diagonal/>
    </border>
    <border>
      <left style="dashDot">
        <color indexed="64"/>
      </left>
      <right/>
      <top/>
      <bottom style="dashDot">
        <color indexed="64"/>
      </bottom>
      <diagonal/>
    </border>
    <border>
      <left/>
      <right/>
      <top/>
      <bottom style="dashDot">
        <color indexed="64"/>
      </bottom>
      <diagonal/>
    </border>
    <border>
      <left/>
      <right style="double">
        <color indexed="64"/>
      </right>
      <top/>
      <bottom style="dashDot">
        <color indexed="64"/>
      </bottom>
      <diagonal/>
    </border>
    <border>
      <left style="medium">
        <color indexed="64"/>
      </left>
      <right/>
      <top style="dashDot">
        <color indexed="64"/>
      </top>
      <bottom style="thin">
        <color indexed="64"/>
      </bottom>
      <diagonal/>
    </border>
    <border>
      <left/>
      <right style="dashDot">
        <color indexed="64"/>
      </right>
      <top style="dashDot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ashDot">
        <color indexed="64"/>
      </bottom>
      <diagonal/>
    </border>
    <border>
      <left/>
      <right style="dashDot">
        <color indexed="64"/>
      </right>
      <top/>
      <bottom style="dashDot">
        <color indexed="64"/>
      </bottom>
      <diagonal/>
    </border>
  </borders>
  <cellStyleXfs count="45">
    <xf numFmtId="0" fontId="0" fillId="0" borderId="0"/>
    <xf numFmtId="0" fontId="23" fillId="2" borderId="0" applyNumberFormat="0" applyBorder="0" applyAlignment="0" applyProtection="0"/>
    <xf numFmtId="0" fontId="23" fillId="3" borderId="0" applyNumberFormat="0" applyBorder="0" applyAlignment="0" applyProtection="0"/>
    <xf numFmtId="0" fontId="23" fillId="4" borderId="0" applyNumberFormat="0" applyBorder="0" applyAlignment="0" applyProtection="0"/>
    <xf numFmtId="0" fontId="23" fillId="5" borderId="0" applyNumberFormat="0" applyBorder="0" applyAlignment="0" applyProtection="0"/>
    <xf numFmtId="0" fontId="23" fillId="6" borderId="0" applyNumberFormat="0" applyBorder="0" applyAlignment="0" applyProtection="0"/>
    <xf numFmtId="0" fontId="23" fillId="7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8" borderId="0" applyNumberFormat="0" applyBorder="0" applyAlignment="0" applyProtection="0"/>
    <xf numFmtId="0" fontId="23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9" borderId="0" applyNumberFormat="0" applyBorder="0" applyAlignment="0" applyProtection="0"/>
    <xf numFmtId="0" fontId="15" fillId="3" borderId="0" applyNumberFormat="0" applyBorder="0" applyAlignment="0" applyProtection="0"/>
    <xf numFmtId="0" fontId="8" fillId="20" borderId="1" applyNumberFormat="0" applyAlignment="0" applyProtection="0"/>
    <xf numFmtId="0" fontId="17" fillId="21" borderId="2" applyNumberFormat="0" applyAlignment="0" applyProtection="0"/>
    <xf numFmtId="43" fontId="2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4" fillId="0" borderId="3" applyNumberFormat="0" applyFill="0" applyAlignment="0" applyProtection="0"/>
    <xf numFmtId="0" fontId="5" fillId="0" borderId="4" applyNumberFormat="0" applyFill="0" applyAlignment="0" applyProtection="0"/>
    <xf numFmtId="0" fontId="6" fillId="0" borderId="5" applyNumberFormat="0" applyFill="0" applyAlignment="0" applyProtection="0"/>
    <xf numFmtId="0" fontId="6" fillId="0" borderId="0" applyNumberFormat="0" applyFill="0" applyBorder="0" applyAlignment="0" applyProtection="0"/>
    <xf numFmtId="0" fontId="9" fillId="7" borderId="1" applyNumberFormat="0" applyAlignment="0" applyProtection="0"/>
    <xf numFmtId="0" fontId="3" fillId="0" borderId="6" applyNumberFormat="0" applyFill="0" applyAlignment="0" applyProtection="0"/>
    <xf numFmtId="0" fontId="14" fillId="22" borderId="0" applyNumberFormat="0" applyBorder="0" applyAlignment="0" applyProtection="0"/>
    <xf numFmtId="0" fontId="23" fillId="23" borderId="7" applyNumberFormat="0" applyFont="0" applyAlignment="0" applyProtection="0"/>
    <xf numFmtId="0" fontId="10" fillId="20" borderId="8" applyNumberFormat="0" applyAlignment="0" applyProtection="0"/>
    <xf numFmtId="0" fontId="2" fillId="0" borderId="0" applyNumberFormat="0" applyFill="0" applyBorder="0" applyAlignment="0" applyProtection="0"/>
    <xf numFmtId="0" fontId="13" fillId="0" borderId="9" applyNumberFormat="0" applyFill="0" applyAlignment="0" applyProtection="0"/>
    <xf numFmtId="0" fontId="7" fillId="0" borderId="0" applyNumberFormat="0" applyFill="0" applyBorder="0" applyAlignment="0" applyProtection="0"/>
    <xf numFmtId="0" fontId="23" fillId="0" borderId="0"/>
    <xf numFmtId="41" fontId="30" fillId="0" borderId="0" applyFont="0" applyFill="0" applyBorder="0" applyAlignment="0" applyProtection="0"/>
  </cellStyleXfs>
  <cellXfs count="111">
    <xf numFmtId="0" fontId="0" fillId="0" borderId="0" xfId="0"/>
    <xf numFmtId="43" fontId="18" fillId="0" borderId="0" xfId="28" applyFont="1"/>
    <xf numFmtId="0" fontId="21" fillId="0" borderId="0" xfId="0" applyFont="1"/>
    <xf numFmtId="0" fontId="25" fillId="0" borderId="0" xfId="0" applyFont="1" applyAlignment="1"/>
    <xf numFmtId="0" fontId="19" fillId="0" borderId="13" xfId="0" applyFont="1" applyBorder="1" applyAlignment="1">
      <alignment horizontal="center"/>
    </xf>
    <xf numFmtId="0" fontId="19" fillId="0" borderId="10" xfId="0" applyFont="1" applyBorder="1" applyAlignment="1">
      <alignment horizontal="center"/>
    </xf>
    <xf numFmtId="0" fontId="21" fillId="0" borderId="13" xfId="0" applyFont="1" applyBorder="1"/>
    <xf numFmtId="43" fontId="19" fillId="0" borderId="13" xfId="0" applyNumberFormat="1" applyFont="1" applyBorder="1"/>
    <xf numFmtId="43" fontId="21" fillId="0" borderId="13" xfId="0" applyNumberFormat="1" applyFont="1" applyBorder="1"/>
    <xf numFmtId="0" fontId="22" fillId="0" borderId="0" xfId="0" applyFont="1" applyAlignment="1"/>
    <xf numFmtId="43" fontId="21" fillId="0" borderId="13" xfId="28" applyFont="1" applyBorder="1" applyAlignment="1">
      <alignment horizontal="center"/>
    </xf>
    <xf numFmtId="0" fontId="20" fillId="0" borderId="15" xfId="0" applyFont="1" applyBorder="1"/>
    <xf numFmtId="0" fontId="20" fillId="0" borderId="14" xfId="0" applyFont="1" applyBorder="1"/>
    <xf numFmtId="43" fontId="18" fillId="0" borderId="0" xfId="28" applyFont="1" applyAlignment="1">
      <alignment horizontal="center"/>
    </xf>
    <xf numFmtId="0" fontId="21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23" fillId="0" borderId="0" xfId="43"/>
    <xf numFmtId="0" fontId="21" fillId="0" borderId="0" xfId="0" applyFont="1" applyAlignment="1">
      <alignment horizontal="center"/>
    </xf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0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0" borderId="12" xfId="0" applyBorder="1"/>
    <xf numFmtId="0" fontId="0" fillId="0" borderId="17" xfId="0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34" xfId="0" applyBorder="1"/>
    <xf numFmtId="0" fontId="0" fillId="0" borderId="35" xfId="0" applyBorder="1"/>
    <xf numFmtId="0" fontId="0" fillId="0" borderId="36" xfId="0" applyBorder="1"/>
    <xf numFmtId="0" fontId="0" fillId="0" borderId="37" xfId="0" applyBorder="1"/>
    <xf numFmtId="0" fontId="0" fillId="0" borderId="38" xfId="0" applyBorder="1"/>
    <xf numFmtId="0" fontId="0" fillId="0" borderId="39" xfId="0" applyBorder="1"/>
    <xf numFmtId="0" fontId="0" fillId="0" borderId="40" xfId="0" applyBorder="1"/>
    <xf numFmtId="0" fontId="0" fillId="0" borderId="41" xfId="0" applyBorder="1"/>
    <xf numFmtId="0" fontId="0" fillId="0" borderId="42" xfId="0" applyBorder="1"/>
    <xf numFmtId="0" fontId="0" fillId="0" borderId="43" xfId="0" applyBorder="1"/>
    <xf numFmtId="0" fontId="0" fillId="0" borderId="44" xfId="0" applyBorder="1"/>
    <xf numFmtId="0" fontId="0" fillId="0" borderId="45" xfId="0" applyBorder="1"/>
    <xf numFmtId="0" fontId="0" fillId="0" borderId="46" xfId="0" applyBorder="1"/>
    <xf numFmtId="0" fontId="0" fillId="0" borderId="47" xfId="0" applyBorder="1"/>
    <xf numFmtId="0" fontId="0" fillId="0" borderId="48" xfId="0" applyBorder="1"/>
    <xf numFmtId="0" fontId="0" fillId="0" borderId="49" xfId="0" applyBorder="1"/>
    <xf numFmtId="0" fontId="0" fillId="0" borderId="50" xfId="0" applyBorder="1"/>
    <xf numFmtId="0" fontId="0" fillId="0" borderId="51" xfId="0" applyBorder="1"/>
    <xf numFmtId="0" fontId="0" fillId="0" borderId="52" xfId="0" applyBorder="1"/>
    <xf numFmtId="0" fontId="0" fillId="0" borderId="53" xfId="0" applyBorder="1"/>
    <xf numFmtId="0" fontId="0" fillId="0" borderId="54" xfId="0" applyBorder="1"/>
    <xf numFmtId="0" fontId="0" fillId="0" borderId="55" xfId="0" applyBorder="1"/>
    <xf numFmtId="0" fontId="23" fillId="0" borderId="0" xfId="0" applyFont="1"/>
    <xf numFmtId="0" fontId="23" fillId="0" borderId="0" xfId="0" quotePrefix="1" applyFont="1"/>
    <xf numFmtId="0" fontId="13" fillId="0" borderId="0" xfId="0" applyFont="1"/>
    <xf numFmtId="0" fontId="13" fillId="0" borderId="0" xfId="0" quotePrefix="1" applyFont="1"/>
    <xf numFmtId="0" fontId="23" fillId="0" borderId="0" xfId="0" applyFont="1" applyBorder="1"/>
    <xf numFmtId="0" fontId="13" fillId="0" borderId="17" xfId="0" applyFont="1" applyBorder="1"/>
    <xf numFmtId="0" fontId="23" fillId="0" borderId="17" xfId="0" applyFont="1" applyBorder="1"/>
    <xf numFmtId="0" fontId="21" fillId="0" borderId="11" xfId="0" applyFont="1" applyBorder="1" applyAlignment="1">
      <alignment horizontal="center" vertical="top"/>
    </xf>
    <xf numFmtId="165" fontId="21" fillId="0" borderId="11" xfId="28" applyNumberFormat="1" applyFont="1" applyBorder="1" applyAlignment="1">
      <alignment horizontal="center" vertical="top"/>
    </xf>
    <xf numFmtId="164" fontId="21" fillId="0" borderId="11" xfId="28" applyNumberFormat="1" applyFont="1" applyBorder="1" applyAlignment="1">
      <alignment horizontal="center" vertical="top"/>
    </xf>
    <xf numFmtId="43" fontId="21" fillId="0" borderId="11" xfId="0" applyNumberFormat="1" applyFont="1" applyBorder="1" applyAlignment="1">
      <alignment vertical="top"/>
    </xf>
    <xf numFmtId="43" fontId="18" fillId="0" borderId="0" xfId="28" applyFont="1" applyAlignment="1">
      <alignment vertical="top"/>
    </xf>
    <xf numFmtId="0" fontId="21" fillId="0" borderId="11" xfId="0" applyFont="1" applyBorder="1" applyAlignment="1">
      <alignment horizontal="center"/>
    </xf>
    <xf numFmtId="0" fontId="21" fillId="0" borderId="19" xfId="0" applyFont="1" applyBorder="1"/>
    <xf numFmtId="0" fontId="21" fillId="0" borderId="20" xfId="0" applyFont="1" applyBorder="1"/>
    <xf numFmtId="0" fontId="21" fillId="0" borderId="10" xfId="0" applyFont="1" applyBorder="1" applyAlignment="1"/>
    <xf numFmtId="43" fontId="21" fillId="0" borderId="11" xfId="28" applyFont="1" applyBorder="1" applyAlignment="1">
      <alignment horizontal="center"/>
    </xf>
    <xf numFmtId="43" fontId="21" fillId="0" borderId="11" xfId="28" applyNumberFormat="1" applyFont="1" applyBorder="1"/>
    <xf numFmtId="43" fontId="21" fillId="0" borderId="10" xfId="28" applyNumberFormat="1" applyFont="1" applyBorder="1"/>
    <xf numFmtId="43" fontId="19" fillId="0" borderId="10" xfId="28" applyNumberFormat="1" applyFont="1" applyBorder="1"/>
    <xf numFmtId="43" fontId="19" fillId="0" borderId="10" xfId="0" applyNumberFormat="1" applyFont="1" applyBorder="1"/>
    <xf numFmtId="43" fontId="27" fillId="0" borderId="14" xfId="28" applyFont="1" applyBorder="1" applyAlignment="1">
      <alignment vertical="center"/>
    </xf>
    <xf numFmtId="43" fontId="27" fillId="0" borderId="12" xfId="28" applyFont="1" applyBorder="1" applyAlignment="1">
      <alignment vertical="center"/>
    </xf>
    <xf numFmtId="43" fontId="27" fillId="0" borderId="12" xfId="28" applyFont="1" applyBorder="1" applyAlignment="1">
      <alignment horizontal="center" vertical="center"/>
    </xf>
    <xf numFmtId="43" fontId="27" fillId="0" borderId="15" xfId="28" applyFont="1" applyBorder="1" applyAlignment="1">
      <alignment vertical="center"/>
    </xf>
    <xf numFmtId="0" fontId="19" fillId="0" borderId="13" xfId="0" applyFont="1" applyBorder="1"/>
    <xf numFmtId="43" fontId="27" fillId="0" borderId="16" xfId="28" applyFont="1" applyBorder="1" applyAlignment="1">
      <alignment vertical="center"/>
    </xf>
    <xf numFmtId="43" fontId="28" fillId="0" borderId="17" xfId="28" applyFont="1" applyBorder="1" applyAlignment="1">
      <alignment horizontal="left" vertical="center"/>
    </xf>
    <xf numFmtId="43" fontId="28" fillId="0" borderId="17" xfId="28" applyFont="1" applyBorder="1" applyAlignment="1">
      <alignment horizontal="center" vertical="center"/>
    </xf>
    <xf numFmtId="43" fontId="27" fillId="0" borderId="17" xfId="28" applyFont="1" applyBorder="1" applyAlignment="1">
      <alignment horizontal="center" vertical="center"/>
    </xf>
    <xf numFmtId="43" fontId="27" fillId="0" borderId="17" xfId="28" applyFont="1" applyBorder="1" applyAlignment="1">
      <alignment vertical="center"/>
    </xf>
    <xf numFmtId="43" fontId="27" fillId="0" borderId="18" xfId="28" applyFont="1" applyBorder="1" applyAlignment="1">
      <alignment vertical="center"/>
    </xf>
    <xf numFmtId="0" fontId="19" fillId="0" borderId="10" xfId="0" applyFont="1" applyBorder="1"/>
    <xf numFmtId="166" fontId="18" fillId="0" borderId="0" xfId="28" applyNumberFormat="1" applyFont="1" applyAlignment="1">
      <alignment vertical="top"/>
    </xf>
    <xf numFmtId="43" fontId="29" fillId="0" borderId="0" xfId="28" applyFont="1" applyBorder="1" applyAlignment="1">
      <alignment vertical="top"/>
    </xf>
    <xf numFmtId="41" fontId="31" fillId="24" borderId="0" xfId="44" applyFont="1" applyFill="1"/>
    <xf numFmtId="0" fontId="1" fillId="24" borderId="0" xfId="43" applyFont="1" applyFill="1" applyAlignment="1"/>
    <xf numFmtId="0" fontId="31" fillId="24" borderId="0" xfId="43" applyFont="1" applyFill="1" applyAlignment="1"/>
    <xf numFmtId="41" fontId="1" fillId="24" borderId="0" xfId="43" applyNumberFormat="1" applyFont="1" applyFill="1" applyAlignment="1"/>
    <xf numFmtId="0" fontId="21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0" fontId="24" fillId="0" borderId="0" xfId="0" applyFont="1" applyAlignment="1">
      <alignment horizontal="center" vertical="center" wrapText="1"/>
    </xf>
    <xf numFmtId="0" fontId="24" fillId="0" borderId="0" xfId="0" applyFont="1" applyAlignment="1">
      <alignment horizontal="center"/>
    </xf>
    <xf numFmtId="0" fontId="21" fillId="0" borderId="19" xfId="0" applyFont="1" applyBorder="1" applyAlignment="1">
      <alignment horizontal="left" vertical="top" wrapText="1"/>
    </xf>
    <xf numFmtId="0" fontId="21" fillId="0" borderId="20" xfId="0" applyFont="1" applyBorder="1" applyAlignment="1">
      <alignment horizontal="left" vertical="top" wrapText="1"/>
    </xf>
    <xf numFmtId="0" fontId="0" fillId="0" borderId="19" xfId="0" applyBorder="1" applyAlignment="1">
      <alignment horizontal="left" vertical="top" wrapText="1"/>
    </xf>
    <xf numFmtId="0" fontId="0" fillId="0" borderId="20" xfId="0" applyBorder="1" applyAlignment="1">
      <alignment horizontal="left" vertical="top" wrapText="1"/>
    </xf>
    <xf numFmtId="0" fontId="23" fillId="0" borderId="19" xfId="0" applyFont="1" applyBorder="1" applyAlignment="1">
      <alignment horizontal="left" vertical="top" wrapText="1"/>
    </xf>
    <xf numFmtId="0" fontId="19" fillId="0" borderId="13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19" fillId="0" borderId="18" xfId="0" applyFont="1" applyBorder="1" applyAlignment="1">
      <alignment horizontal="center" vertical="center"/>
    </xf>
  </cellXfs>
  <cellStyles count="45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omma [0] 2" xfId="44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rmal 2" xfId="43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image" Target="../media/image7.png"/><Relationship Id="rId1" Type="http://schemas.openxmlformats.org/officeDocument/2006/relationships/image" Target="../media/image6.png"/><Relationship Id="rId6" Type="http://schemas.openxmlformats.org/officeDocument/2006/relationships/image" Target="../media/image11.png"/><Relationship Id="rId5" Type="http://schemas.openxmlformats.org/officeDocument/2006/relationships/image" Target="../media/image10.png"/><Relationship Id="rId4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5388</xdr:row>
      <xdr:rowOff>9525</xdr:rowOff>
    </xdr:from>
    <xdr:to>
      <xdr:col>1</xdr:col>
      <xdr:colOff>593435</xdr:colOff>
      <xdr:row>5388</xdr:row>
      <xdr:rowOff>23891</xdr:rowOff>
    </xdr:to>
    <xdr:pic>
      <xdr:nvPicPr>
        <xdr:cNvPr id="2" name="Picture 1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827103375"/>
          <a:ext cx="418719" cy="14366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28575</xdr:colOff>
      <xdr:row>5477</xdr:row>
      <xdr:rowOff>161925</xdr:rowOff>
    </xdr:from>
    <xdr:to>
      <xdr:col>1</xdr:col>
      <xdr:colOff>541238</xdr:colOff>
      <xdr:row>5478</xdr:row>
      <xdr:rowOff>32272</xdr:rowOff>
    </xdr:to>
    <xdr:pic>
      <xdr:nvPicPr>
        <xdr:cNvPr id="3" name="Picture 3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840809850"/>
          <a:ext cx="395097" cy="22827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85725</xdr:colOff>
      <xdr:row>5532</xdr:row>
      <xdr:rowOff>0</xdr:rowOff>
    </xdr:from>
    <xdr:to>
      <xdr:col>1</xdr:col>
      <xdr:colOff>623534</xdr:colOff>
      <xdr:row>5532</xdr:row>
      <xdr:rowOff>23779</xdr:rowOff>
    </xdr:to>
    <xdr:pic>
      <xdr:nvPicPr>
        <xdr:cNvPr id="4" name="Picture 4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849039450"/>
          <a:ext cx="351663" cy="23779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57150</xdr:colOff>
      <xdr:row>5334</xdr:row>
      <xdr:rowOff>9525</xdr:rowOff>
    </xdr:from>
    <xdr:to>
      <xdr:col>1</xdr:col>
      <xdr:colOff>593435</xdr:colOff>
      <xdr:row>5334</xdr:row>
      <xdr:rowOff>24541</xdr:rowOff>
    </xdr:to>
    <xdr:pic>
      <xdr:nvPicPr>
        <xdr:cNvPr id="5" name="Picture 1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818873775"/>
          <a:ext cx="418719" cy="15016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57150</xdr:colOff>
      <xdr:row>5294</xdr:row>
      <xdr:rowOff>9525</xdr:rowOff>
    </xdr:from>
    <xdr:to>
      <xdr:col>1</xdr:col>
      <xdr:colOff>593435</xdr:colOff>
      <xdr:row>5294</xdr:row>
      <xdr:rowOff>24540</xdr:rowOff>
    </xdr:to>
    <xdr:pic>
      <xdr:nvPicPr>
        <xdr:cNvPr id="6" name="Picture 1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812777775"/>
          <a:ext cx="418719" cy="15015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28575</xdr:colOff>
      <xdr:row>5573</xdr:row>
      <xdr:rowOff>0</xdr:rowOff>
    </xdr:from>
    <xdr:to>
      <xdr:col>1</xdr:col>
      <xdr:colOff>474563</xdr:colOff>
      <xdr:row>5573</xdr:row>
      <xdr:rowOff>25034</xdr:rowOff>
    </xdr:to>
    <xdr:pic>
      <xdr:nvPicPr>
        <xdr:cNvPr id="7" name="Picture 4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8575" y="855287850"/>
          <a:ext cx="328422" cy="25034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>
    <xdr:from>
      <xdr:col>0</xdr:col>
      <xdr:colOff>200025</xdr:colOff>
      <xdr:row>1081</xdr:row>
      <xdr:rowOff>180975</xdr:rowOff>
    </xdr:from>
    <xdr:to>
      <xdr:col>1</xdr:col>
      <xdr:colOff>4476750</xdr:colOff>
      <xdr:row>1084</xdr:row>
      <xdr:rowOff>190500</xdr:rowOff>
    </xdr:to>
    <xdr:pic>
      <xdr:nvPicPr>
        <xdr:cNvPr id="77372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374646825"/>
          <a:ext cx="4581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1117</xdr:row>
      <xdr:rowOff>180975</xdr:rowOff>
    </xdr:from>
    <xdr:to>
      <xdr:col>1</xdr:col>
      <xdr:colOff>4476750</xdr:colOff>
      <xdr:row>1120</xdr:row>
      <xdr:rowOff>190500</xdr:rowOff>
    </xdr:to>
    <xdr:pic>
      <xdr:nvPicPr>
        <xdr:cNvPr id="77374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383228850"/>
          <a:ext cx="4581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1189</xdr:row>
      <xdr:rowOff>180975</xdr:rowOff>
    </xdr:from>
    <xdr:to>
      <xdr:col>1</xdr:col>
      <xdr:colOff>4476750</xdr:colOff>
      <xdr:row>1192</xdr:row>
      <xdr:rowOff>190500</xdr:rowOff>
    </xdr:to>
    <xdr:pic>
      <xdr:nvPicPr>
        <xdr:cNvPr id="77375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400764375"/>
          <a:ext cx="45815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1153</xdr:row>
      <xdr:rowOff>180975</xdr:rowOff>
    </xdr:from>
    <xdr:to>
      <xdr:col>1</xdr:col>
      <xdr:colOff>4476750</xdr:colOff>
      <xdr:row>1156</xdr:row>
      <xdr:rowOff>190500</xdr:rowOff>
    </xdr:to>
    <xdr:pic>
      <xdr:nvPicPr>
        <xdr:cNvPr id="77376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391982325"/>
          <a:ext cx="4581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186419</xdr:colOff>
      <xdr:row>1228</xdr:row>
      <xdr:rowOff>72118</xdr:rowOff>
    </xdr:from>
    <xdr:to>
      <xdr:col>1</xdr:col>
      <xdr:colOff>3333751</xdr:colOff>
      <xdr:row>1229</xdr:row>
      <xdr:rowOff>140975</xdr:rowOff>
    </xdr:to>
    <xdr:pic>
      <xdr:nvPicPr>
        <xdr:cNvPr id="48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485776" y="418287654"/>
          <a:ext cx="3147332" cy="5042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14</xdr:col>
      <xdr:colOff>11423</xdr:colOff>
      <xdr:row>36</xdr:row>
      <xdr:rowOff>161926</xdr:rowOff>
    </xdr:to>
    <xdr:pic>
      <xdr:nvPicPr>
        <xdr:cNvPr id="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9200" y="190500"/>
          <a:ext cx="7326623" cy="6829426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19050</xdr:colOff>
      <xdr:row>61</xdr:row>
      <xdr:rowOff>28575</xdr:rowOff>
    </xdr:from>
    <xdr:to>
      <xdr:col>14</xdr:col>
      <xdr:colOff>30472</xdr:colOff>
      <xdr:row>97</xdr:row>
      <xdr:rowOff>0</xdr:rowOff>
    </xdr:to>
    <xdr:pic>
      <xdr:nvPicPr>
        <xdr:cNvPr id="10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38250" y="11649075"/>
          <a:ext cx="7326622" cy="68294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28575</xdr:colOff>
      <xdr:row>133</xdr:row>
      <xdr:rowOff>104775</xdr:rowOff>
    </xdr:from>
    <xdr:to>
      <xdr:col>14</xdr:col>
      <xdr:colOff>50215</xdr:colOff>
      <xdr:row>169</xdr:row>
      <xdr:rowOff>85725</xdr:rowOff>
    </xdr:to>
    <xdr:pic>
      <xdr:nvPicPr>
        <xdr:cNvPr id="12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247775" y="25441275"/>
          <a:ext cx="7336840" cy="68389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9525</xdr:colOff>
      <xdr:row>36</xdr:row>
      <xdr:rowOff>171450</xdr:rowOff>
    </xdr:from>
    <xdr:to>
      <xdr:col>14</xdr:col>
      <xdr:colOff>125896</xdr:colOff>
      <xdr:row>61</xdr:row>
      <xdr:rowOff>28575</xdr:rowOff>
    </xdr:to>
    <xdr:pic>
      <xdr:nvPicPr>
        <xdr:cNvPr id="205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228725" y="7029450"/>
          <a:ext cx="7431571" cy="46196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19051</xdr:colOff>
      <xdr:row>85</xdr:row>
      <xdr:rowOff>76200</xdr:rowOff>
    </xdr:from>
    <xdr:to>
      <xdr:col>14</xdr:col>
      <xdr:colOff>43485</xdr:colOff>
      <xdr:row>109</xdr:row>
      <xdr:rowOff>66675</xdr:rowOff>
    </xdr:to>
    <xdr:pic>
      <xdr:nvPicPr>
        <xdr:cNvPr id="2051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238251" y="16268700"/>
          <a:ext cx="7339634" cy="45624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38100</xdr:colOff>
      <xdr:row>109</xdr:row>
      <xdr:rowOff>81863</xdr:rowOff>
    </xdr:from>
    <xdr:to>
      <xdr:col>14</xdr:col>
      <xdr:colOff>53423</xdr:colOff>
      <xdr:row>133</xdr:row>
      <xdr:rowOff>66674</xdr:rowOff>
    </xdr:to>
    <xdr:pic>
      <xdr:nvPicPr>
        <xdr:cNvPr id="2053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257300" y="20846363"/>
          <a:ext cx="7330523" cy="4556811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8</xdr:row>
      <xdr:rowOff>19050</xdr:rowOff>
    </xdr:from>
    <xdr:to>
      <xdr:col>46</xdr:col>
      <xdr:colOff>247650</xdr:colOff>
      <xdr:row>8</xdr:row>
      <xdr:rowOff>19050</xdr:rowOff>
    </xdr:to>
    <xdr:cxnSp macro="">
      <xdr:nvCxnSpPr>
        <xdr:cNvPr id="3" name="Straight Arrow Connector 2"/>
        <xdr:cNvCxnSpPr/>
      </xdr:nvCxnSpPr>
      <xdr:spPr>
        <a:xfrm>
          <a:off x="3095625" y="2000250"/>
          <a:ext cx="9001125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123825</xdr:colOff>
      <xdr:row>8</xdr:row>
      <xdr:rowOff>238125</xdr:rowOff>
    </xdr:from>
    <xdr:to>
      <xdr:col>11</xdr:col>
      <xdr:colOff>123825</xdr:colOff>
      <xdr:row>28</xdr:row>
      <xdr:rowOff>228600</xdr:rowOff>
    </xdr:to>
    <xdr:cxnSp macro="">
      <xdr:nvCxnSpPr>
        <xdr:cNvPr id="4" name="Straight Arrow Connector 3"/>
        <xdr:cNvCxnSpPr/>
      </xdr:nvCxnSpPr>
      <xdr:spPr>
        <a:xfrm>
          <a:off x="2962275" y="2219325"/>
          <a:ext cx="0" cy="4943475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171450</xdr:colOff>
      <xdr:row>12</xdr:row>
      <xdr:rowOff>47625</xdr:rowOff>
    </xdr:from>
    <xdr:to>
      <xdr:col>26</xdr:col>
      <xdr:colOff>171450</xdr:colOff>
      <xdr:row>21</xdr:row>
      <xdr:rowOff>180975</xdr:rowOff>
    </xdr:to>
    <xdr:cxnSp macro="">
      <xdr:nvCxnSpPr>
        <xdr:cNvPr id="7" name="Straight Arrow Connector 6"/>
        <xdr:cNvCxnSpPr/>
      </xdr:nvCxnSpPr>
      <xdr:spPr>
        <a:xfrm>
          <a:off x="6867525" y="3019425"/>
          <a:ext cx="0" cy="236220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9526</xdr:colOff>
      <xdr:row>21</xdr:row>
      <xdr:rowOff>9525</xdr:rowOff>
    </xdr:from>
    <xdr:to>
      <xdr:col>30</xdr:col>
      <xdr:colOff>219075</xdr:colOff>
      <xdr:row>21</xdr:row>
      <xdr:rowOff>9525</xdr:rowOff>
    </xdr:to>
    <xdr:cxnSp macro="">
      <xdr:nvCxnSpPr>
        <xdr:cNvPr id="9" name="Straight Arrow Connector 8"/>
        <xdr:cNvCxnSpPr/>
      </xdr:nvCxnSpPr>
      <xdr:spPr>
        <a:xfrm flipH="1">
          <a:off x="6705601" y="5210175"/>
          <a:ext cx="1238249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28577</xdr:colOff>
      <xdr:row>16</xdr:row>
      <xdr:rowOff>38100</xdr:rowOff>
    </xdr:from>
    <xdr:to>
      <xdr:col>32</xdr:col>
      <xdr:colOff>238125</xdr:colOff>
      <xdr:row>16</xdr:row>
      <xdr:rowOff>38100</xdr:rowOff>
    </xdr:to>
    <xdr:cxnSp macro="">
      <xdr:nvCxnSpPr>
        <xdr:cNvPr id="12" name="Straight Arrow Connector 11"/>
        <xdr:cNvCxnSpPr/>
      </xdr:nvCxnSpPr>
      <xdr:spPr>
        <a:xfrm flipH="1">
          <a:off x="8020052" y="4000500"/>
          <a:ext cx="466723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104775</xdr:colOff>
      <xdr:row>29</xdr:row>
      <xdr:rowOff>219075</xdr:rowOff>
    </xdr:from>
    <xdr:to>
      <xdr:col>20</xdr:col>
      <xdr:colOff>190500</xdr:colOff>
      <xdr:row>32</xdr:row>
      <xdr:rowOff>123825</xdr:rowOff>
    </xdr:to>
    <xdr:sp macro="" textlink="">
      <xdr:nvSpPr>
        <xdr:cNvPr id="14" name="Cube 13"/>
        <xdr:cNvSpPr/>
      </xdr:nvSpPr>
      <xdr:spPr>
        <a:xfrm>
          <a:off x="3457575" y="7400925"/>
          <a:ext cx="1885950" cy="647700"/>
        </a:xfrm>
        <a:prstGeom prst="cube">
          <a:avLst>
            <a:gd name="adj" fmla="val 45588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21</xdr:col>
      <xdr:colOff>57150</xdr:colOff>
      <xdr:row>29</xdr:row>
      <xdr:rowOff>200025</xdr:rowOff>
    </xdr:from>
    <xdr:to>
      <xdr:col>21</xdr:col>
      <xdr:colOff>57151</xdr:colOff>
      <xdr:row>31</xdr:row>
      <xdr:rowOff>85725</xdr:rowOff>
    </xdr:to>
    <xdr:cxnSp macro="">
      <xdr:nvCxnSpPr>
        <xdr:cNvPr id="15" name="Straight Arrow Connector 14"/>
        <xdr:cNvCxnSpPr/>
      </xdr:nvCxnSpPr>
      <xdr:spPr>
        <a:xfrm>
          <a:off x="5467350" y="7381875"/>
          <a:ext cx="1" cy="38100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X28"/>
  <sheetViews>
    <sheetView tabSelected="1" workbookViewId="0">
      <selection activeCell="G12" sqref="G12"/>
    </sheetView>
  </sheetViews>
  <sheetFormatPr defaultRowHeight="12"/>
  <cols>
    <col min="1" max="1" width="4.5703125" style="1" customWidth="1"/>
    <col min="2" max="2" width="20" style="1" customWidth="1"/>
    <col min="3" max="3" width="26.28515625" style="1" customWidth="1"/>
    <col min="4" max="4" width="10" style="13" customWidth="1"/>
    <col min="5" max="5" width="8.5703125" style="1" customWidth="1"/>
    <col min="6" max="6" width="11" style="1" customWidth="1"/>
    <col min="7" max="7" width="16.28515625" style="1" customWidth="1"/>
    <col min="8" max="8" width="15.5703125" style="1" customWidth="1"/>
    <col min="9" max="9" width="16.5703125" style="1" customWidth="1"/>
    <col min="10" max="10" width="9.140625" style="1" customWidth="1"/>
    <col min="11" max="11" width="17.42578125" style="1" bestFit="1" customWidth="1"/>
    <col min="12" max="12" width="11.7109375" style="1" bestFit="1" customWidth="1"/>
    <col min="13" max="13" width="12.140625" style="1" bestFit="1" customWidth="1"/>
    <col min="14" max="14" width="27.7109375" style="1" customWidth="1"/>
    <col min="15" max="15" width="3.28515625" style="1" customWidth="1"/>
    <col min="16" max="16" width="15.7109375" style="1" bestFit="1" customWidth="1"/>
    <col min="17" max="16384" width="9.140625" style="1"/>
  </cols>
  <sheetData>
    <row r="2" spans="1:14" ht="33.75">
      <c r="A2" s="3"/>
      <c r="B2" s="97" t="s">
        <v>17</v>
      </c>
      <c r="C2" s="97"/>
      <c r="D2" s="97"/>
      <c r="E2" s="97"/>
      <c r="F2" s="97"/>
      <c r="G2" s="97"/>
      <c r="H2" s="97"/>
      <c r="I2" s="97"/>
    </row>
    <row r="3" spans="1:14" ht="24.75" customHeight="1">
      <c r="A3" s="3"/>
      <c r="B3" s="98" t="s">
        <v>51</v>
      </c>
      <c r="C3" s="98"/>
      <c r="D3" s="98"/>
      <c r="E3" s="98"/>
      <c r="F3" s="98"/>
      <c r="G3" s="98"/>
      <c r="H3" s="98"/>
      <c r="I3" s="98"/>
    </row>
    <row r="4" spans="1:14" ht="26.25">
      <c r="A4" s="9"/>
      <c r="B4" s="99" t="s">
        <v>52</v>
      </c>
      <c r="C4" s="99"/>
      <c r="D4" s="99"/>
      <c r="E4" s="99"/>
      <c r="F4" s="99"/>
      <c r="G4" s="99"/>
      <c r="H4" s="99"/>
      <c r="I4" s="99"/>
    </row>
    <row r="5" spans="1:14" ht="15.75">
      <c r="A5" s="15"/>
      <c r="B5" s="15"/>
      <c r="C5" s="15"/>
      <c r="D5" s="15"/>
      <c r="E5" s="15"/>
      <c r="F5" s="15"/>
      <c r="G5" s="15"/>
      <c r="H5" s="15"/>
      <c r="I5" s="15"/>
    </row>
    <row r="6" spans="1:14" ht="15.75">
      <c r="A6" s="105" t="s">
        <v>0</v>
      </c>
      <c r="B6" s="107" t="s">
        <v>1</v>
      </c>
      <c r="C6" s="108"/>
      <c r="D6" s="105" t="s">
        <v>2</v>
      </c>
      <c r="E6" s="105" t="s">
        <v>3</v>
      </c>
      <c r="F6" s="105" t="s">
        <v>4</v>
      </c>
      <c r="G6" s="4" t="s">
        <v>5</v>
      </c>
      <c r="H6" s="4" t="s">
        <v>6</v>
      </c>
      <c r="I6" s="4" t="s">
        <v>7</v>
      </c>
    </row>
    <row r="7" spans="1:14" ht="15.75">
      <c r="A7" s="106"/>
      <c r="B7" s="109"/>
      <c r="C7" s="110"/>
      <c r="D7" s="106"/>
      <c r="E7" s="106"/>
      <c r="F7" s="106"/>
      <c r="G7" s="5" t="s">
        <v>8</v>
      </c>
      <c r="H7" s="5" t="s">
        <v>8</v>
      </c>
      <c r="I7" s="5" t="s">
        <v>8</v>
      </c>
    </row>
    <row r="8" spans="1:14" ht="15.75">
      <c r="A8" s="4" t="s">
        <v>9</v>
      </c>
      <c r="B8" s="12" t="s">
        <v>18</v>
      </c>
      <c r="C8" s="11"/>
      <c r="D8" s="10"/>
      <c r="E8" s="6"/>
      <c r="F8" s="6"/>
      <c r="G8" s="6"/>
      <c r="H8" s="7"/>
      <c r="I8" s="8"/>
    </row>
    <row r="9" spans="1:14" s="67" customFormat="1" ht="54" customHeight="1">
      <c r="A9" s="63">
        <v>1</v>
      </c>
      <c r="B9" s="100" t="s">
        <v>50</v>
      </c>
      <c r="C9" s="101"/>
      <c r="D9" s="64">
        <v>1</v>
      </c>
      <c r="E9" s="63" t="s">
        <v>16</v>
      </c>
      <c r="F9" s="63" t="s">
        <v>16</v>
      </c>
      <c r="G9" s="65">
        <v>14000000</v>
      </c>
      <c r="H9" s="65">
        <f>+G9*D9</f>
        <v>14000000</v>
      </c>
      <c r="I9" s="66"/>
      <c r="M9" s="67">
        <f>280000/6</f>
        <v>46666.666666666664</v>
      </c>
      <c r="N9" s="67">
        <f>12*220</f>
        <v>2640</v>
      </c>
    </row>
    <row r="10" spans="1:14" s="67" customFormat="1" ht="32.25" customHeight="1">
      <c r="A10" s="63">
        <f>+A9+1</f>
        <v>2</v>
      </c>
      <c r="B10" s="102" t="s">
        <v>53</v>
      </c>
      <c r="C10" s="103"/>
      <c r="D10" s="64">
        <v>2</v>
      </c>
      <c r="E10" s="63" t="s">
        <v>43</v>
      </c>
      <c r="F10" s="63" t="s">
        <v>10</v>
      </c>
      <c r="G10" s="90">
        <v>1000000</v>
      </c>
      <c r="H10" s="65">
        <f>+G10*D10</f>
        <v>2000000</v>
      </c>
      <c r="I10" s="66"/>
      <c r="N10" s="67">
        <f>+N8/2.5</f>
        <v>0</v>
      </c>
    </row>
    <row r="11" spans="1:14" s="67" customFormat="1" ht="34.5" customHeight="1">
      <c r="A11" s="63">
        <f>+A10+1</f>
        <v>3</v>
      </c>
      <c r="B11" s="102" t="s">
        <v>60</v>
      </c>
      <c r="C11" s="103"/>
      <c r="D11" s="64">
        <v>2</v>
      </c>
      <c r="E11" s="63" t="s">
        <v>43</v>
      </c>
      <c r="F11" s="63" t="s">
        <v>10</v>
      </c>
      <c r="G11" s="65">
        <v>265000</v>
      </c>
      <c r="H11" s="65">
        <f>+G11*D11</f>
        <v>530000</v>
      </c>
      <c r="I11" s="66"/>
      <c r="N11" s="67">
        <f>+N8/2.5</f>
        <v>0</v>
      </c>
    </row>
    <row r="12" spans="1:14" s="67" customFormat="1" ht="34.5" customHeight="1">
      <c r="A12" s="63">
        <f>+A11+1</f>
        <v>4</v>
      </c>
      <c r="B12" s="102" t="s">
        <v>55</v>
      </c>
      <c r="C12" s="103"/>
      <c r="D12" s="64">
        <v>7</v>
      </c>
      <c r="E12" s="63" t="s">
        <v>54</v>
      </c>
      <c r="F12" s="63" t="s">
        <v>10</v>
      </c>
      <c r="G12" s="65">
        <v>40000</v>
      </c>
      <c r="H12" s="65">
        <f>+G12*D12</f>
        <v>280000</v>
      </c>
      <c r="I12" s="66"/>
      <c r="N12" s="67">
        <f>+N9/2.5</f>
        <v>1056</v>
      </c>
    </row>
    <row r="13" spans="1:14" s="67" customFormat="1" ht="38.25" customHeight="1">
      <c r="A13" s="63">
        <f t="shared" ref="A13:A14" si="0">+A12+1</f>
        <v>5</v>
      </c>
      <c r="B13" s="102" t="s">
        <v>39</v>
      </c>
      <c r="C13" s="103"/>
      <c r="D13" s="64">
        <v>5</v>
      </c>
      <c r="E13" s="63" t="s">
        <v>44</v>
      </c>
      <c r="F13" s="63" t="s">
        <v>10</v>
      </c>
      <c r="G13" s="65">
        <v>225000</v>
      </c>
      <c r="H13" s="65">
        <f>+G13*D13</f>
        <v>1125000</v>
      </c>
      <c r="I13" s="66"/>
      <c r="N13" s="67">
        <f>+N12-220-100</f>
        <v>736</v>
      </c>
    </row>
    <row r="14" spans="1:14" s="67" customFormat="1" ht="18" customHeight="1">
      <c r="A14" s="63">
        <f t="shared" si="0"/>
        <v>6</v>
      </c>
      <c r="B14" s="102" t="s">
        <v>40</v>
      </c>
      <c r="C14" s="103"/>
      <c r="D14" s="64">
        <f>+D12</f>
        <v>7</v>
      </c>
      <c r="E14" s="63" t="s">
        <v>32</v>
      </c>
      <c r="F14" s="63" t="s">
        <v>10</v>
      </c>
      <c r="G14" s="65">
        <v>500000</v>
      </c>
      <c r="H14" s="65">
        <f>G14*D14</f>
        <v>3500000</v>
      </c>
      <c r="I14" s="66"/>
      <c r="N14" s="89">
        <f>12/N12</f>
        <v>1.1363636363636364E-2</v>
      </c>
    </row>
    <row r="15" spans="1:14" s="67" customFormat="1" ht="18" customHeight="1">
      <c r="A15" s="63">
        <f t="shared" ref="A15:A16" si="1">+A14+1</f>
        <v>7</v>
      </c>
      <c r="B15" s="102" t="s">
        <v>41</v>
      </c>
      <c r="C15" s="103"/>
      <c r="D15" s="64">
        <v>1</v>
      </c>
      <c r="E15" s="63" t="s">
        <v>45</v>
      </c>
      <c r="F15" s="63" t="s">
        <v>10</v>
      </c>
      <c r="G15" s="65">
        <v>2850000</v>
      </c>
      <c r="H15" s="65">
        <f t="shared" ref="H15:H17" si="2">+G15*D15</f>
        <v>2850000</v>
      </c>
      <c r="I15" s="66"/>
      <c r="K15" s="67">
        <f>24*3*2</f>
        <v>144</v>
      </c>
      <c r="N15" s="67">
        <f>+N14*N14*N13</f>
        <v>9.5041322314049589E-2</v>
      </c>
    </row>
    <row r="16" spans="1:14" s="67" customFormat="1" ht="19.5" customHeight="1">
      <c r="A16" s="63">
        <f t="shared" si="1"/>
        <v>8</v>
      </c>
      <c r="B16" s="104" t="s">
        <v>49</v>
      </c>
      <c r="C16" s="103"/>
      <c r="D16" s="64">
        <v>1</v>
      </c>
      <c r="E16" s="63" t="s">
        <v>45</v>
      </c>
      <c r="F16" s="63" t="s">
        <v>10</v>
      </c>
      <c r="G16" s="65">
        <v>300000</v>
      </c>
      <c r="H16" s="65">
        <f t="shared" si="2"/>
        <v>300000</v>
      </c>
      <c r="I16" s="66"/>
      <c r="K16" s="67">
        <f>24*3*2</f>
        <v>144</v>
      </c>
    </row>
    <row r="17" spans="1:24" s="67" customFormat="1" ht="36" customHeight="1">
      <c r="A17" s="63">
        <f t="shared" ref="A17" si="3">+A16+1</f>
        <v>9</v>
      </c>
      <c r="B17" s="100" t="s">
        <v>42</v>
      </c>
      <c r="C17" s="101"/>
      <c r="D17" s="64">
        <v>1</v>
      </c>
      <c r="E17" s="63" t="s">
        <v>16</v>
      </c>
      <c r="F17" s="63" t="s">
        <v>16</v>
      </c>
      <c r="G17" s="65">
        <v>300000</v>
      </c>
      <c r="H17" s="65">
        <f t="shared" si="2"/>
        <v>300000</v>
      </c>
      <c r="I17" s="66"/>
      <c r="K17" s="67">
        <f>24*3*2</f>
        <v>144</v>
      </c>
      <c r="N17" s="67">
        <f>12*220/(220+100+1000)</f>
        <v>2</v>
      </c>
    </row>
    <row r="18" spans="1:24" ht="15.75">
      <c r="A18" s="71"/>
      <c r="B18" s="69"/>
      <c r="C18" s="70"/>
      <c r="D18" s="72"/>
      <c r="E18" s="68"/>
      <c r="F18" s="68"/>
      <c r="G18" s="73"/>
      <c r="H18" s="74"/>
      <c r="I18" s="75">
        <f>SUM(H9:H18)</f>
        <v>24885000</v>
      </c>
      <c r="N18" s="91">
        <f>I20</f>
        <v>24885000</v>
      </c>
      <c r="O18" s="92">
        <v>1</v>
      </c>
      <c r="P18" s="92">
        <f>+O18*10</f>
        <v>10</v>
      </c>
      <c r="Q18" s="92">
        <f t="shared" ref="Q18:X18" si="4">+P18*10</f>
        <v>100</v>
      </c>
      <c r="R18" s="92">
        <f t="shared" si="4"/>
        <v>1000</v>
      </c>
      <c r="S18" s="92">
        <f t="shared" si="4"/>
        <v>10000</v>
      </c>
      <c r="T18" s="92">
        <f t="shared" si="4"/>
        <v>100000</v>
      </c>
      <c r="U18" s="92">
        <f t="shared" si="4"/>
        <v>1000000</v>
      </c>
      <c r="V18" s="92">
        <f t="shared" si="4"/>
        <v>10000000</v>
      </c>
      <c r="W18" s="92">
        <f t="shared" si="4"/>
        <v>100000000</v>
      </c>
      <c r="X18" s="92">
        <f t="shared" si="4"/>
        <v>1000000000</v>
      </c>
    </row>
    <row r="19" spans="1:24" ht="15.75">
      <c r="A19" s="77"/>
      <c r="B19" s="78" t="s">
        <v>19</v>
      </c>
      <c r="C19" s="78"/>
      <c r="D19" s="79"/>
      <c r="E19" s="78"/>
      <c r="F19" s="78"/>
      <c r="G19" s="80"/>
      <c r="H19" s="81" t="s">
        <v>11</v>
      </c>
      <c r="I19" s="7">
        <f>+I18</f>
        <v>24885000</v>
      </c>
      <c r="N19" s="93" t="s">
        <v>46</v>
      </c>
      <c r="O19" s="92">
        <v>0</v>
      </c>
      <c r="P19" s="94">
        <f>MOD(N18,P18)</f>
        <v>0</v>
      </c>
      <c r="Q19" s="94">
        <f>MOD(N18,Q18)</f>
        <v>0</v>
      </c>
      <c r="R19" s="94">
        <f>MOD(N18,R18)</f>
        <v>0</v>
      </c>
      <c r="S19" s="94">
        <f>MOD(N18,S18)</f>
        <v>5000</v>
      </c>
      <c r="T19" s="94">
        <f>MOD(N18,T18)</f>
        <v>85000</v>
      </c>
      <c r="U19" s="94">
        <f>MOD(N18,U18)</f>
        <v>885000</v>
      </c>
      <c r="V19" s="94">
        <f>MOD(N18,V18)</f>
        <v>4885000</v>
      </c>
      <c r="W19" s="94">
        <f>MOD(N18,W18)</f>
        <v>24885000</v>
      </c>
      <c r="X19" s="94">
        <f>MOD(N18,X18)</f>
        <v>24885000</v>
      </c>
    </row>
    <row r="20" spans="1:24" ht="15.75">
      <c r="A20" s="82"/>
      <c r="B20" s="83" t="str">
        <f>N26</f>
        <v>Dua Puluh Empat Juta Delapan Ratus Delapan Puluh Lima Ribu Rupiah</v>
      </c>
      <c r="C20" s="84"/>
      <c r="D20" s="85"/>
      <c r="E20" s="86"/>
      <c r="F20" s="86"/>
      <c r="G20" s="87"/>
      <c r="H20" s="88" t="s">
        <v>12</v>
      </c>
      <c r="I20" s="76">
        <f>ROUND(I19,-3)</f>
        <v>24885000</v>
      </c>
      <c r="K20" s="1">
        <f>25000000-I20</f>
        <v>115000</v>
      </c>
      <c r="N20" s="92"/>
      <c r="O20" s="92"/>
      <c r="P20" s="92">
        <f t="shared" ref="P20:U20" si="5">+P19-O19</f>
        <v>0</v>
      </c>
      <c r="Q20" s="92">
        <f t="shared" si="5"/>
        <v>0</v>
      </c>
      <c r="R20" s="92">
        <f t="shared" si="5"/>
        <v>0</v>
      </c>
      <c r="S20" s="92">
        <f t="shared" si="5"/>
        <v>5000</v>
      </c>
      <c r="T20" s="92">
        <f t="shared" si="5"/>
        <v>80000</v>
      </c>
      <c r="U20" s="92">
        <f t="shared" si="5"/>
        <v>800000</v>
      </c>
      <c r="V20" s="92">
        <f>+V19-U19</f>
        <v>4000000</v>
      </c>
      <c r="W20" s="92">
        <f t="shared" ref="W20:X20" si="6">+W19-V19</f>
        <v>20000000</v>
      </c>
      <c r="X20" s="92">
        <f t="shared" si="6"/>
        <v>0</v>
      </c>
    </row>
    <row r="21" spans="1:24" ht="15.75">
      <c r="A21" s="2"/>
      <c r="B21" s="2"/>
      <c r="C21" s="2"/>
      <c r="D21" s="14"/>
      <c r="E21" s="2"/>
      <c r="F21" s="2"/>
      <c r="G21" s="2"/>
      <c r="H21" s="2"/>
      <c r="I21" s="2"/>
      <c r="N21" s="92"/>
      <c r="O21" s="92"/>
      <c r="P21" s="92">
        <f t="shared" ref="P21:U21" si="7">+P20*10/P18</f>
        <v>0</v>
      </c>
      <c r="Q21" s="92">
        <f t="shared" si="7"/>
        <v>0</v>
      </c>
      <c r="R21" s="92">
        <f t="shared" si="7"/>
        <v>0</v>
      </c>
      <c r="S21" s="92">
        <f t="shared" si="7"/>
        <v>5</v>
      </c>
      <c r="T21" s="92">
        <f t="shared" si="7"/>
        <v>8</v>
      </c>
      <c r="U21" s="92">
        <f t="shared" si="7"/>
        <v>8</v>
      </c>
      <c r="V21" s="92">
        <f>+V20*10/V18</f>
        <v>4</v>
      </c>
      <c r="W21" s="92">
        <f t="shared" ref="W21:X21" si="8">+W20*10/W18</f>
        <v>2</v>
      </c>
      <c r="X21" s="92">
        <f t="shared" si="8"/>
        <v>0</v>
      </c>
    </row>
    <row r="22" spans="1:24" ht="15.75">
      <c r="A22" s="2"/>
      <c r="B22" s="2"/>
      <c r="C22" s="2"/>
      <c r="D22" s="17"/>
      <c r="E22" s="2"/>
      <c r="F22" s="2"/>
      <c r="G22" s="2"/>
      <c r="H22" s="95" t="s">
        <v>56</v>
      </c>
      <c r="I22" s="95"/>
      <c r="N22" s="92"/>
      <c r="O22" s="92"/>
      <c r="P22" s="92" t="str">
        <f>IF(AND(P21&gt;0,Q21&lt;&gt;1),CHOOSE(P21,"satu","dua","tiga","empat","lima","enam","tujuh","delapan","sembilan"),"")</f>
        <v/>
      </c>
      <c r="Q22" s="92" t="str">
        <f>IF(Q21&gt;0,CHOOSE(Q21,CHOOSE(P21+1,"se","se","dua","tiga","empat","lima","enam","tujuh","delapan","sembilan"),"dua","tiga","empat","lima","enam","tujuh","delapan","sembilan"),"")</f>
        <v/>
      </c>
      <c r="R22" s="92" t="str">
        <f>IF(R21&gt;0,CHOOSE(R21,"se","dua","tiga","empat","lima","enam","tujuh","delapan","sembilan"),"")</f>
        <v/>
      </c>
      <c r="S22" s="92" t="str">
        <f>IF(AND(S21&gt;0,T21&lt;&gt;1),CHOOSE(S21,"satu","dua","tiga","empat","lima","enam","tujuh","delapan","sembilan"),"")</f>
        <v>lima</v>
      </c>
      <c r="T22" s="92" t="str">
        <f>IF(T21&gt;0,CHOOSE(T21,CHOOSE(S21+1,"se","se","dua","tiga","empat","lima","enam","tujuh","delapan","sembilan"),"dua","tiga","empat","lima","enam","tujuh","delapan","sembilan"),"")</f>
        <v>delapan</v>
      </c>
      <c r="U22" s="92" t="str">
        <f>IF(U21&gt;0,CHOOSE(U21,"se","dua","tiga","empat","lima","enam","tujuh","delapan","sembilan"),"")</f>
        <v>delapan</v>
      </c>
      <c r="V22" s="92" t="str">
        <f>IF(AND(V21&gt;0,W21&lt;&gt;1),CHOOSE(V21,"satu","dua","tiga","empat","lima","enam","tujuh","delapan","sembilan"),"")</f>
        <v>empat</v>
      </c>
      <c r="W22" s="92" t="str">
        <f>IF(W21&gt;0,CHOOSE(W21,CHOOSE(V21+1,"","se","dua","tiga","empat","lima","enam","tujuh","delapan","sembilan"),"dua","tiga","empat","lima","enam","tujuh","delapan","sembilan"),"")</f>
        <v>dua</v>
      </c>
      <c r="X22" s="92" t="str">
        <f>IF(X21&gt;0,CHOOSE(X21,"se","dua","tiga","empat","lima","enam","tujuh","delapan","sembilan"),"")</f>
        <v/>
      </c>
    </row>
    <row r="23" spans="1:24" ht="15.75">
      <c r="A23" s="95" t="s">
        <v>13</v>
      </c>
      <c r="B23" s="95"/>
      <c r="C23" s="95"/>
      <c r="D23" s="95" t="s">
        <v>14</v>
      </c>
      <c r="E23" s="95"/>
      <c r="F23" s="95"/>
      <c r="G23" s="2"/>
      <c r="H23" s="95" t="s">
        <v>15</v>
      </c>
      <c r="I23" s="95"/>
      <c r="N23" s="92"/>
      <c r="O23" s="92"/>
      <c r="P23" s="92"/>
      <c r="Q23" s="92" t="str">
        <f>IF(Q21&gt;0,IF(AND(Q21=1,P21&gt;0)," belas "," puluh "),"")</f>
        <v/>
      </c>
      <c r="R23" s="92" t="str">
        <f>IF(R21&gt;0," ratus ","")</f>
        <v/>
      </c>
      <c r="S23" s="92" t="str">
        <f>IF(SUM(S21,U21)&gt;0," ribu ","")</f>
        <v xml:space="preserve"> ribu </v>
      </c>
      <c r="T23" s="92" t="str">
        <f>IF(T21&gt;0,IF(AND(T21=1,S21&gt;0)," belas "," puluh "),"")</f>
        <v xml:space="preserve"> puluh </v>
      </c>
      <c r="U23" s="92" t="str">
        <f>IF(U21&gt;0," ratus ","")</f>
        <v xml:space="preserve"> ratus </v>
      </c>
      <c r="V23" s="92" t="str">
        <f>IF(SUM(V21,X21)&gt;0," juta ","")</f>
        <v xml:space="preserve"> juta </v>
      </c>
      <c r="W23" s="92" t="str">
        <f>IF(W21&gt;0,IF(AND(W21=1,V21&gt;0)," belas "," puluh "),"")</f>
        <v xml:space="preserve"> puluh </v>
      </c>
      <c r="X23" s="92" t="str">
        <f>IF(X21&gt;0," ratus ","")</f>
        <v/>
      </c>
    </row>
    <row r="24" spans="1:24" ht="15.75">
      <c r="A24" s="2"/>
      <c r="B24" s="2"/>
      <c r="C24" s="2"/>
      <c r="D24" s="17"/>
      <c r="E24" s="2"/>
      <c r="F24" s="2"/>
      <c r="G24" s="2"/>
      <c r="H24" s="2"/>
      <c r="I24" s="2"/>
      <c r="N24" s="92"/>
      <c r="O24" s="92"/>
      <c r="P24" s="92" t="str">
        <f>CONCATENATE(P22,P17)</f>
        <v/>
      </c>
      <c r="Q24" s="92" t="str">
        <f t="shared" ref="Q24:X24" si="9">CONCATENATE(Q22,Q23)</f>
        <v/>
      </c>
      <c r="R24" s="92" t="str">
        <f t="shared" si="9"/>
        <v/>
      </c>
      <c r="S24" s="92" t="str">
        <f t="shared" si="9"/>
        <v xml:space="preserve">lima ribu </v>
      </c>
      <c r="T24" s="92" t="str">
        <f t="shared" si="9"/>
        <v xml:space="preserve">delapan puluh </v>
      </c>
      <c r="U24" s="92" t="str">
        <f t="shared" si="9"/>
        <v xml:space="preserve">delapan ratus </v>
      </c>
      <c r="V24" s="92" t="str">
        <f t="shared" si="9"/>
        <v xml:space="preserve">empat juta </v>
      </c>
      <c r="W24" s="92" t="str">
        <f t="shared" si="9"/>
        <v xml:space="preserve">dua puluh </v>
      </c>
      <c r="X24" s="92" t="str">
        <f t="shared" si="9"/>
        <v/>
      </c>
    </row>
    <row r="25" spans="1:24" ht="15.75">
      <c r="A25" s="2"/>
      <c r="B25" s="2"/>
      <c r="C25" s="2"/>
      <c r="D25" s="14"/>
      <c r="E25" s="2"/>
      <c r="F25" s="2"/>
      <c r="G25" s="2"/>
      <c r="H25" s="2"/>
      <c r="I25" s="2"/>
      <c r="N25" s="92"/>
      <c r="O25" s="92"/>
      <c r="P25" s="92"/>
      <c r="Q25" s="92"/>
      <c r="R25" s="92"/>
      <c r="S25" s="92"/>
      <c r="T25" s="92"/>
      <c r="U25" s="92"/>
      <c r="V25" s="92"/>
      <c r="W25" s="92"/>
      <c r="X25" s="92"/>
    </row>
    <row r="26" spans="1:24" ht="15.75">
      <c r="A26" s="2"/>
      <c r="B26" s="2"/>
      <c r="C26" s="2"/>
      <c r="D26" s="14"/>
      <c r="E26" s="2"/>
      <c r="F26" s="2"/>
      <c r="G26" s="2"/>
      <c r="H26" s="2"/>
      <c r="I26" s="2"/>
      <c r="N26" s="93" t="str">
        <f>PROPER(CONCATENATE(X24,W24,V24,U24,T24,S24,R24,Q24,P24,N19))</f>
        <v>Dua Puluh Empat Juta Delapan Ratus Delapan Puluh Lima Ribu Rupiah</v>
      </c>
      <c r="O26" s="92"/>
      <c r="P26" s="92"/>
      <c r="Q26" s="92"/>
      <c r="R26" s="92"/>
      <c r="S26" s="92"/>
      <c r="T26" s="92"/>
      <c r="U26" s="92"/>
      <c r="V26" s="92"/>
      <c r="W26" s="92"/>
      <c r="X26" s="92"/>
    </row>
    <row r="27" spans="1:24" ht="15.75">
      <c r="A27" s="96" t="s">
        <v>47</v>
      </c>
      <c r="B27" s="96"/>
      <c r="C27" s="96"/>
      <c r="D27" s="96" t="s">
        <v>57</v>
      </c>
      <c r="E27" s="96"/>
      <c r="F27" s="96"/>
      <c r="G27" s="2"/>
      <c r="H27" s="96" t="s">
        <v>48</v>
      </c>
      <c r="I27" s="96"/>
    </row>
    <row r="28" spans="1:24" ht="15.75">
      <c r="A28" s="95" t="s">
        <v>20</v>
      </c>
      <c r="B28" s="95"/>
      <c r="C28" s="95"/>
      <c r="D28" s="95" t="s">
        <v>58</v>
      </c>
      <c r="E28" s="95"/>
      <c r="F28" s="95"/>
      <c r="G28" s="2"/>
      <c r="H28" s="95" t="s">
        <v>59</v>
      </c>
      <c r="I28" s="95"/>
    </row>
  </sheetData>
  <mergeCells count="27">
    <mergeCell ref="A6:A7"/>
    <mergeCell ref="B6:C7"/>
    <mergeCell ref="D6:D7"/>
    <mergeCell ref="E6:E7"/>
    <mergeCell ref="F6:F7"/>
    <mergeCell ref="B2:I2"/>
    <mergeCell ref="B3:I3"/>
    <mergeCell ref="B4:I4"/>
    <mergeCell ref="B9:C9"/>
    <mergeCell ref="B17:C17"/>
    <mergeCell ref="B12:C12"/>
    <mergeCell ref="B13:C13"/>
    <mergeCell ref="B14:C14"/>
    <mergeCell ref="B15:C15"/>
    <mergeCell ref="B16:C16"/>
    <mergeCell ref="B10:C10"/>
    <mergeCell ref="B11:C11"/>
    <mergeCell ref="H22:I22"/>
    <mergeCell ref="A23:C23"/>
    <mergeCell ref="D23:F23"/>
    <mergeCell ref="H23:I23"/>
    <mergeCell ref="A28:C28"/>
    <mergeCell ref="D28:F28"/>
    <mergeCell ref="H28:I28"/>
    <mergeCell ref="A27:C27"/>
    <mergeCell ref="D27:F27"/>
    <mergeCell ref="H27:I27"/>
  </mergeCells>
  <printOptions horizontalCentered="1"/>
  <pageMargins left="0.43" right="0.63" top="0.82" bottom="0.55118110236220474" header="1.7716535433070868" footer="0.74803149606299213"/>
  <pageSetup paperSize="5" scale="74" firstPageNumber="4294963191" orientation="portrait" horizontalDpi="4294967293" verticalDpi="4294967293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Q65" sqref="Q65"/>
    </sheetView>
  </sheetViews>
  <sheetFormatPr defaultRowHeight="15"/>
  <cols>
    <col min="1" max="16384" width="9.140625" style="16"/>
  </cols>
  <sheetData/>
  <pageMargins left="0.70866141732283472" right="0.70866141732283472" top="0.41" bottom="0.5" header="0.31496062992125984" footer="0.31496062992125984"/>
  <pageSetup paperSize="9" scale="50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K8:AU39"/>
  <sheetViews>
    <sheetView topLeftCell="A24" workbookViewId="0">
      <selection activeCell="X40" sqref="X40"/>
    </sheetView>
  </sheetViews>
  <sheetFormatPr defaultColWidth="3.85546875" defaultRowHeight="19.5" customHeight="1"/>
  <cols>
    <col min="11" max="11" width="4" bestFit="1" customWidth="1"/>
    <col min="31" max="31" width="4" bestFit="1" customWidth="1"/>
  </cols>
  <sheetData>
    <row r="8" spans="13:47" ht="19.5" customHeight="1">
      <c r="AE8">
        <v>780</v>
      </c>
    </row>
    <row r="9" spans="13:47" ht="19.5" customHeight="1" thickBot="1"/>
    <row r="10" spans="13:47" ht="19.5" customHeight="1">
      <c r="M10" s="18"/>
      <c r="N10" s="42"/>
      <c r="O10" s="19"/>
      <c r="P10" s="19"/>
      <c r="Q10" s="19"/>
      <c r="R10" s="32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20"/>
    </row>
    <row r="11" spans="13:47" ht="19.5" customHeight="1">
      <c r="M11" s="21"/>
      <c r="N11" s="43"/>
      <c r="O11" s="22"/>
      <c r="P11" s="22"/>
      <c r="Q11" s="22"/>
      <c r="R11" s="30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3"/>
    </row>
    <row r="12" spans="13:47" ht="19.5" customHeight="1" thickBot="1">
      <c r="M12" s="21"/>
      <c r="N12" s="43"/>
      <c r="O12" s="22"/>
      <c r="P12" s="22"/>
      <c r="Q12" s="22"/>
      <c r="R12" s="30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3"/>
    </row>
    <row r="13" spans="13:47" ht="19.5" customHeight="1">
      <c r="M13" s="21"/>
      <c r="N13" s="43"/>
      <c r="O13" s="22"/>
      <c r="P13" s="22"/>
      <c r="Q13" s="22"/>
      <c r="R13" s="30"/>
      <c r="S13" s="22"/>
      <c r="T13" s="18"/>
      <c r="U13" s="19"/>
      <c r="V13" s="19"/>
      <c r="W13" s="19"/>
      <c r="X13" s="20"/>
      <c r="Y13" s="22"/>
      <c r="Z13" s="22"/>
      <c r="AA13" s="18"/>
      <c r="AB13" s="19"/>
      <c r="AC13" s="19"/>
      <c r="AD13" s="19"/>
      <c r="AE13" s="20"/>
      <c r="AF13" s="22"/>
      <c r="AG13" s="22"/>
      <c r="AH13" s="18"/>
      <c r="AI13" s="19"/>
      <c r="AJ13" s="19"/>
      <c r="AK13" s="19"/>
      <c r="AL13" s="20"/>
      <c r="AM13" s="22"/>
      <c r="AN13" s="22"/>
      <c r="AO13" s="18"/>
      <c r="AP13" s="19"/>
      <c r="AQ13" s="19"/>
      <c r="AR13" s="19"/>
      <c r="AS13" s="20"/>
      <c r="AT13" s="22"/>
      <c r="AU13" s="23"/>
    </row>
    <row r="14" spans="13:47" ht="19.5" customHeight="1">
      <c r="M14" s="21"/>
      <c r="N14" s="43"/>
      <c r="O14" s="22"/>
      <c r="P14" s="22"/>
      <c r="Q14" s="22"/>
      <c r="R14" s="30"/>
      <c r="S14" s="22"/>
      <c r="T14" s="21"/>
      <c r="U14" s="22"/>
      <c r="V14" s="22"/>
      <c r="W14" s="22"/>
      <c r="X14" s="23"/>
      <c r="Y14" s="22"/>
      <c r="Z14" s="22"/>
      <c r="AA14" s="21"/>
      <c r="AB14" s="22"/>
      <c r="AC14" s="22"/>
      <c r="AD14" s="22"/>
      <c r="AE14" s="23"/>
      <c r="AF14" s="22"/>
      <c r="AG14" s="22"/>
      <c r="AH14" s="21"/>
      <c r="AI14" s="22"/>
      <c r="AJ14" s="22"/>
      <c r="AK14" s="22"/>
      <c r="AL14" s="23"/>
      <c r="AM14" s="22"/>
      <c r="AN14" s="22"/>
      <c r="AO14" s="21"/>
      <c r="AP14" s="22"/>
      <c r="AQ14" s="22"/>
      <c r="AR14" s="22"/>
      <c r="AS14" s="23"/>
      <c r="AT14" s="22"/>
      <c r="AU14" s="23"/>
    </row>
    <row r="15" spans="13:47" ht="19.5" customHeight="1">
      <c r="M15" s="33"/>
      <c r="N15" s="44"/>
      <c r="O15" s="28"/>
      <c r="P15" s="28"/>
      <c r="Q15" s="28"/>
      <c r="R15" s="31"/>
      <c r="S15" s="22"/>
      <c r="T15" s="21"/>
      <c r="U15" s="22"/>
      <c r="V15" s="22"/>
      <c r="W15" s="22"/>
      <c r="X15" s="23"/>
      <c r="Y15" s="22"/>
      <c r="Z15" s="22"/>
      <c r="AA15" s="21"/>
      <c r="AB15" s="22"/>
      <c r="AC15" s="22"/>
      <c r="AD15" s="22"/>
      <c r="AE15" s="23"/>
      <c r="AF15" s="22"/>
      <c r="AG15" s="22"/>
      <c r="AH15" s="21"/>
      <c r="AI15" s="60" t="s">
        <v>31</v>
      </c>
      <c r="AJ15" s="22"/>
      <c r="AK15" s="22"/>
      <c r="AL15" s="23"/>
      <c r="AM15" s="22"/>
      <c r="AN15" s="22"/>
      <c r="AO15" s="21"/>
      <c r="AP15" s="22"/>
      <c r="AQ15" s="22"/>
      <c r="AR15" s="22"/>
      <c r="AS15" s="23"/>
      <c r="AT15" s="22"/>
      <c r="AU15" s="23"/>
    </row>
    <row r="16" spans="13:47" ht="19.5" customHeight="1">
      <c r="M16" s="21"/>
      <c r="N16" s="43"/>
      <c r="O16" s="22"/>
      <c r="P16" s="22"/>
      <c r="Q16" s="22"/>
      <c r="R16" s="30"/>
      <c r="S16" s="22"/>
      <c r="T16" s="21"/>
      <c r="U16" s="22"/>
      <c r="V16" s="22"/>
      <c r="W16" s="22"/>
      <c r="X16" s="23"/>
      <c r="Y16" s="22"/>
      <c r="Z16" s="22"/>
      <c r="AA16" s="21"/>
      <c r="AB16" s="22"/>
      <c r="AC16" s="22"/>
      <c r="AD16" s="22"/>
      <c r="AE16" s="23"/>
      <c r="AF16" s="22"/>
      <c r="AG16" s="22"/>
      <c r="AH16" s="21"/>
      <c r="AI16" s="22"/>
      <c r="AJ16" s="22"/>
      <c r="AK16" s="22"/>
      <c r="AL16" s="23"/>
      <c r="AM16" s="22"/>
      <c r="AN16" s="22"/>
      <c r="AO16" s="21"/>
      <c r="AP16" s="22"/>
      <c r="AQ16" s="22"/>
      <c r="AR16" s="22"/>
      <c r="AS16" s="23"/>
      <c r="AT16" s="22"/>
      <c r="AU16" s="23"/>
    </row>
    <row r="17" spans="11:47" ht="19.5" customHeight="1">
      <c r="M17" s="21"/>
      <c r="N17" s="43"/>
      <c r="O17" s="22"/>
      <c r="P17" s="22"/>
      <c r="Q17" s="22"/>
      <c r="R17" s="30"/>
      <c r="S17" s="22"/>
      <c r="T17" s="21"/>
      <c r="U17" s="22"/>
      <c r="V17" s="22"/>
      <c r="W17" s="22"/>
      <c r="X17" s="23"/>
      <c r="Y17" s="22"/>
      <c r="Z17" s="22"/>
      <c r="AA17" s="21">
        <v>170</v>
      </c>
      <c r="AB17" s="22"/>
      <c r="AC17" s="22"/>
      <c r="AD17" s="22"/>
      <c r="AE17" s="23"/>
      <c r="AF17" s="22">
        <v>50</v>
      </c>
      <c r="AG17" s="22"/>
      <c r="AH17" s="21"/>
      <c r="AI17" s="22"/>
      <c r="AJ17" s="22"/>
      <c r="AK17" s="22"/>
      <c r="AL17" s="23"/>
      <c r="AM17" s="22"/>
      <c r="AN17" s="22"/>
      <c r="AO17" s="21"/>
      <c r="AP17" s="22"/>
      <c r="AQ17" s="22"/>
      <c r="AR17" s="22"/>
      <c r="AS17" s="23"/>
      <c r="AT17" s="22"/>
      <c r="AU17" s="23"/>
    </row>
    <row r="18" spans="11:47" ht="19.5" customHeight="1">
      <c r="M18" s="34"/>
      <c r="N18" s="45"/>
      <c r="O18" s="27"/>
      <c r="P18" s="27"/>
      <c r="Q18" s="27"/>
      <c r="R18" s="29"/>
      <c r="S18" s="22"/>
      <c r="T18" s="21"/>
      <c r="U18" s="22"/>
      <c r="V18" s="22"/>
      <c r="W18" s="22"/>
      <c r="X18" s="23"/>
      <c r="Y18" s="22"/>
      <c r="Z18" s="22"/>
      <c r="AA18" s="21"/>
      <c r="AB18" s="22"/>
      <c r="AC18" s="22"/>
      <c r="AD18" s="22"/>
      <c r="AE18" s="23"/>
      <c r="AF18" s="22"/>
      <c r="AG18" s="22"/>
      <c r="AH18" s="21"/>
      <c r="AI18" s="22"/>
      <c r="AJ18" s="22"/>
      <c r="AK18" s="22"/>
      <c r="AL18" s="23"/>
      <c r="AM18" s="22"/>
      <c r="AN18" s="22"/>
      <c r="AO18" s="21"/>
      <c r="AP18" s="22"/>
      <c r="AQ18" s="22"/>
      <c r="AR18" s="22"/>
      <c r="AS18" s="23"/>
      <c r="AT18" s="22"/>
      <c r="AU18" s="23"/>
    </row>
    <row r="19" spans="11:47" ht="19.5" customHeight="1">
      <c r="K19">
        <v>300</v>
      </c>
      <c r="M19" s="33"/>
      <c r="N19" s="44"/>
      <c r="O19" s="28"/>
      <c r="P19" s="28"/>
      <c r="Q19" s="28"/>
      <c r="R19" s="31"/>
      <c r="S19" s="22"/>
      <c r="T19" s="21"/>
      <c r="U19" s="22"/>
      <c r="V19" s="22"/>
      <c r="W19" s="22"/>
      <c r="X19" s="23"/>
      <c r="Y19" s="22"/>
      <c r="Z19" s="22"/>
      <c r="AA19" s="21"/>
      <c r="AB19" s="22"/>
      <c r="AC19" s="22"/>
      <c r="AD19" s="22"/>
      <c r="AE19" s="23"/>
      <c r="AF19" s="22"/>
      <c r="AG19" s="22"/>
      <c r="AH19" s="21"/>
      <c r="AI19" s="22"/>
      <c r="AJ19" s="22"/>
      <c r="AK19" s="22"/>
      <c r="AL19" s="23"/>
      <c r="AM19" s="22"/>
      <c r="AN19" s="22"/>
      <c r="AO19" s="21"/>
      <c r="AP19" s="22"/>
      <c r="AQ19" s="22"/>
      <c r="AR19" s="22"/>
      <c r="AS19" s="23"/>
      <c r="AT19" s="22"/>
      <c r="AU19" s="23"/>
    </row>
    <row r="20" spans="11:47" ht="19.5" customHeight="1">
      <c r="M20" s="21"/>
      <c r="N20" s="43"/>
      <c r="O20" s="22"/>
      <c r="P20" s="22"/>
      <c r="Q20" s="22"/>
      <c r="R20" s="30"/>
      <c r="S20" s="22"/>
      <c r="T20" s="21"/>
      <c r="U20" s="22"/>
      <c r="V20" s="22"/>
      <c r="W20" s="22"/>
      <c r="X20" s="23"/>
      <c r="Y20" s="22"/>
      <c r="Z20" s="22"/>
      <c r="AA20" s="21"/>
      <c r="AB20" s="22"/>
      <c r="AC20" s="22"/>
      <c r="AD20" s="22"/>
      <c r="AE20" s="23"/>
      <c r="AF20" s="22"/>
      <c r="AG20" s="22"/>
      <c r="AH20" s="21"/>
      <c r="AI20" s="22"/>
      <c r="AJ20" s="22"/>
      <c r="AK20" s="22"/>
      <c r="AL20" s="23"/>
      <c r="AM20" s="22"/>
      <c r="AN20" s="22"/>
      <c r="AO20" s="21"/>
      <c r="AP20" s="22"/>
      <c r="AQ20" s="22"/>
      <c r="AR20" s="22"/>
      <c r="AS20" s="23"/>
      <c r="AT20" s="22"/>
      <c r="AU20" s="23"/>
    </row>
    <row r="21" spans="11:47" ht="19.5" customHeight="1">
      <c r="M21" s="21"/>
      <c r="N21" s="43"/>
      <c r="O21" s="22"/>
      <c r="P21" s="22"/>
      <c r="Q21" s="22"/>
      <c r="R21" s="30"/>
      <c r="S21" s="22"/>
      <c r="T21" s="21"/>
      <c r="U21" s="22"/>
      <c r="V21" s="22"/>
      <c r="W21" s="22"/>
      <c r="X21" s="23"/>
      <c r="Y21" s="22"/>
      <c r="Z21" s="22"/>
      <c r="AA21" s="21"/>
      <c r="AB21" s="22"/>
      <c r="AC21" s="22"/>
      <c r="AD21" s="22"/>
      <c r="AE21" s="23"/>
      <c r="AF21" s="22"/>
      <c r="AG21" s="22"/>
      <c r="AH21" s="21"/>
      <c r="AI21" s="22"/>
      <c r="AJ21" s="22"/>
      <c r="AK21" s="22"/>
      <c r="AL21" s="23"/>
      <c r="AM21" s="22"/>
      <c r="AN21" s="22"/>
      <c r="AO21" s="21"/>
      <c r="AP21" s="22"/>
      <c r="AQ21" s="22"/>
      <c r="AR21" s="22"/>
      <c r="AS21" s="23"/>
      <c r="AT21" s="22"/>
      <c r="AU21" s="23"/>
    </row>
    <row r="22" spans="11:47" ht="19.5" customHeight="1" thickBot="1">
      <c r="M22" s="34"/>
      <c r="N22" s="45"/>
      <c r="O22" s="27"/>
      <c r="P22" s="27"/>
      <c r="Q22" s="27"/>
      <c r="R22" s="29"/>
      <c r="S22" s="22"/>
      <c r="T22" s="24"/>
      <c r="U22" s="25"/>
      <c r="V22" s="25"/>
      <c r="W22" s="25"/>
      <c r="X22" s="26"/>
      <c r="Y22" s="22"/>
      <c r="Z22" s="22"/>
      <c r="AA22" s="24"/>
      <c r="AB22" s="25"/>
      <c r="AC22" s="25">
        <v>92</v>
      </c>
      <c r="AD22" s="25"/>
      <c r="AE22" s="26"/>
      <c r="AF22" s="22"/>
      <c r="AG22" s="22"/>
      <c r="AH22" s="24"/>
      <c r="AI22" s="25"/>
      <c r="AJ22" s="25"/>
      <c r="AK22" s="25"/>
      <c r="AL22" s="26"/>
      <c r="AM22" s="22"/>
      <c r="AN22" s="22"/>
      <c r="AO22" s="24"/>
      <c r="AP22" s="25"/>
      <c r="AQ22" s="25"/>
      <c r="AR22" s="25"/>
      <c r="AS22" s="26"/>
      <c r="AT22" s="22"/>
      <c r="AU22" s="23"/>
    </row>
    <row r="23" spans="11:47" ht="19.5" customHeight="1">
      <c r="M23" s="33"/>
      <c r="N23" s="44"/>
      <c r="O23" s="28"/>
      <c r="P23" s="28"/>
      <c r="Q23" s="28"/>
      <c r="R23" s="31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  <c r="AO23" s="22"/>
      <c r="AP23" s="22"/>
      <c r="AQ23" s="22"/>
      <c r="AR23" s="22"/>
      <c r="AS23" s="22"/>
      <c r="AT23" s="22"/>
      <c r="AU23" s="23"/>
    </row>
    <row r="24" spans="11:47" ht="19.5" customHeight="1">
      <c r="M24" s="21"/>
      <c r="N24" s="43"/>
      <c r="O24" s="22"/>
      <c r="P24" s="22"/>
      <c r="Q24" s="22"/>
      <c r="R24" s="30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3"/>
    </row>
    <row r="25" spans="11:47" ht="19.5" customHeight="1">
      <c r="M25" s="21"/>
      <c r="N25" s="43"/>
      <c r="O25" s="22"/>
      <c r="P25" s="22"/>
      <c r="Q25" s="22"/>
      <c r="R25" s="30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R25" s="22"/>
      <c r="AS25" s="22"/>
      <c r="AT25" s="22"/>
      <c r="AU25" s="23"/>
    </row>
    <row r="26" spans="11:47" ht="19.5" customHeight="1">
      <c r="M26" s="34"/>
      <c r="N26" s="45"/>
      <c r="O26" s="27"/>
      <c r="P26" s="27"/>
      <c r="Q26" s="27"/>
      <c r="R26" s="29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  <c r="AP26" s="22"/>
      <c r="AQ26" s="22"/>
      <c r="AR26" s="22"/>
      <c r="AS26" s="22"/>
      <c r="AT26" s="22"/>
      <c r="AU26" s="23"/>
    </row>
    <row r="27" spans="11:47" ht="19.5" customHeight="1">
      <c r="M27" s="52"/>
      <c r="N27" s="53"/>
      <c r="O27" s="46"/>
      <c r="P27" s="47"/>
      <c r="Q27" s="47"/>
      <c r="R27" s="48"/>
      <c r="S27" s="36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37"/>
      <c r="AS27" s="37"/>
      <c r="AT27" s="37"/>
      <c r="AU27" s="38"/>
    </row>
    <row r="28" spans="11:47" ht="19.5" customHeight="1">
      <c r="M28" s="54"/>
      <c r="N28" s="55"/>
      <c r="O28" s="49"/>
      <c r="P28" s="50"/>
      <c r="Q28" s="50"/>
      <c r="R28" s="51"/>
      <c r="S28" s="39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40"/>
      <c r="AM28" s="40"/>
      <c r="AN28" s="40"/>
      <c r="AO28" s="40"/>
      <c r="AP28" s="40"/>
      <c r="AQ28" s="40"/>
      <c r="AR28" s="40"/>
      <c r="AS28" s="40"/>
      <c r="AT28" s="40"/>
      <c r="AU28" s="41"/>
    </row>
    <row r="29" spans="11:47" ht="19.5" customHeight="1" thickBot="1">
      <c r="M29" s="24"/>
      <c r="N29" s="25"/>
      <c r="O29" s="25"/>
      <c r="P29" s="25"/>
      <c r="Q29" s="25"/>
      <c r="R29" s="3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  <c r="AN29" s="25"/>
      <c r="AO29" s="25"/>
      <c r="AP29" s="25"/>
      <c r="AQ29" s="25"/>
      <c r="AR29" s="25"/>
      <c r="AS29" s="25"/>
      <c r="AT29" s="25"/>
      <c r="AU29" s="26"/>
    </row>
    <row r="31" spans="11:47" ht="19.5" customHeight="1">
      <c r="V31">
        <v>18</v>
      </c>
      <c r="Y31" s="56" t="s">
        <v>21</v>
      </c>
      <c r="AB31" s="57" t="s">
        <v>22</v>
      </c>
      <c r="AH31" s="56" t="s">
        <v>25</v>
      </c>
      <c r="AM31" s="57" t="s">
        <v>26</v>
      </c>
    </row>
    <row r="32" spans="11:47" ht="19.5" customHeight="1">
      <c r="AB32" s="57" t="s">
        <v>23</v>
      </c>
      <c r="AC32" s="28">
        <f>7.8*3</f>
        <v>23.4</v>
      </c>
      <c r="AD32" s="62" t="s">
        <v>24</v>
      </c>
      <c r="AM32" s="57" t="s">
        <v>23</v>
      </c>
      <c r="AN32" s="28">
        <f>4*((2*0.18*0.92)+(2*0.18*1.7))</f>
        <v>3.7728000000000002</v>
      </c>
      <c r="AO32" s="62" t="s">
        <v>24</v>
      </c>
    </row>
    <row r="34" spans="13:41" ht="19.5" customHeight="1">
      <c r="AH34" s="56" t="s">
        <v>27</v>
      </c>
      <c r="AM34" s="57" t="s">
        <v>30</v>
      </c>
    </row>
    <row r="35" spans="13:41" ht="19.5" customHeight="1">
      <c r="Y35" s="58" t="s">
        <v>29</v>
      </c>
      <c r="Z35" s="58"/>
      <c r="AA35" s="58"/>
      <c r="AB35" s="59" t="s">
        <v>23</v>
      </c>
      <c r="AC35" s="61">
        <f>+AC32+AN32+AN35</f>
        <v>37.972799999999999</v>
      </c>
      <c r="AD35" s="62" t="s">
        <v>24</v>
      </c>
      <c r="AH35" s="56" t="s">
        <v>28</v>
      </c>
      <c r="AM35" s="57" t="s">
        <v>23</v>
      </c>
      <c r="AN35" s="28">
        <f>+(2*0.5*3)+(2*0.5*7.8)</f>
        <v>10.8</v>
      </c>
      <c r="AO35" s="62" t="s">
        <v>24</v>
      </c>
    </row>
    <row r="37" spans="13:41" ht="19.5" customHeight="1">
      <c r="M37" s="56" t="s">
        <v>34</v>
      </c>
    </row>
    <row r="38" spans="13:41" ht="19.5" customHeight="1">
      <c r="M38" s="56" t="s">
        <v>35</v>
      </c>
      <c r="Q38" s="57" t="s">
        <v>23</v>
      </c>
      <c r="R38" s="56" t="s">
        <v>36</v>
      </c>
    </row>
    <row r="39" spans="13:41" ht="19.5" customHeight="1">
      <c r="Q39" s="57" t="s">
        <v>23</v>
      </c>
      <c r="R39">
        <f>(AC35*3)/6</f>
        <v>18.9864</v>
      </c>
      <c r="S39" s="56" t="s">
        <v>33</v>
      </c>
      <c r="T39" s="56" t="s">
        <v>37</v>
      </c>
      <c r="X39" s="56" t="s">
        <v>38</v>
      </c>
    </row>
  </sheetData>
  <pageMargins left="0.7" right="0.7" top="0.75" bottom="0.75" header="0.3" footer="0.3"/>
  <pageSetup paperSize="9"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F13:G14"/>
  <sheetViews>
    <sheetView workbookViewId="0">
      <selection activeCell="G14" sqref="G14"/>
    </sheetView>
  </sheetViews>
  <sheetFormatPr defaultRowHeight="15"/>
  <sheetData>
    <row r="13" spans="6:7">
      <c r="F13">
        <v>2.5</v>
      </c>
      <c r="G13">
        <v>0.28999999999999998</v>
      </c>
    </row>
    <row r="14" spans="6:7">
      <c r="F14">
        <v>3.5</v>
      </c>
      <c r="G14">
        <f>+G13*F14/F13</f>
        <v>0.40599999999999997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157255200</TotalTime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rab 2018</vt:lpstr>
      <vt:lpstr>AlDas </vt:lpstr>
      <vt:lpstr>breakdown</vt:lpstr>
      <vt:lpstr>Sheet1</vt:lpstr>
      <vt:lpstr>'AlDas '!Print_Area</vt:lpstr>
      <vt:lpstr>'rab 2018'!Print_Area</vt:lpstr>
    </vt:vector>
  </TitlesOfParts>
  <Company>pdam</Company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HABIBI AL MUHSHI SIREGAR</dc:creator>
  <cp:lastModifiedBy>lenovo</cp:lastModifiedBy>
  <cp:revision/>
  <cp:lastPrinted>2020-08-24T05:39:50Z</cp:lastPrinted>
  <dcterms:created xsi:type="dcterms:W3CDTF">2012-03-21T04:38:16Z</dcterms:created>
  <dcterms:modified xsi:type="dcterms:W3CDTF">2022-01-10T03:47:49Z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1033-6.3.0.1733</vt:lpwstr>
  </property>
</Properties>
</file>