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 activeTab="1"/>
  </bookViews>
  <sheets>
    <sheet name="Breakdown (2)" sheetId="7" r:id="rId1"/>
    <sheet name="RAB (2)" sheetId="4" r:id="rId2"/>
  </sheets>
  <definedNames>
    <definedName name="_xlnm.Print_Area" localSheetId="0">'Breakdown (2)'!$J$5:$Q$44</definedName>
    <definedName name="_xlnm.Print_Area" localSheetId="1">'RAB (2)'!$B$3:$H$47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/>
  <c r="H16" l="1"/>
  <c r="B22"/>
  <c r="B23" s="1"/>
  <c r="B24" s="1"/>
  <c r="B25" s="1"/>
  <c r="B26" s="1"/>
  <c r="B21"/>
  <c r="H21"/>
  <c r="H12"/>
  <c r="J33"/>
  <c r="H32"/>
  <c r="H31"/>
  <c r="L28"/>
  <c r="K28"/>
  <c r="H28"/>
  <c r="H26"/>
  <c r="H25"/>
  <c r="H24"/>
  <c r="J23"/>
  <c r="J29" s="1"/>
  <c r="H23"/>
  <c r="H29" s="1"/>
  <c r="H22"/>
  <c r="H20"/>
  <c r="Q19" i="7"/>
  <c r="P17"/>
  <c r="Q17" s="1"/>
  <c r="M17"/>
  <c r="J17"/>
  <c r="J19" s="1"/>
  <c r="H17"/>
  <c r="H16"/>
  <c r="P15"/>
  <c r="M15"/>
  <c r="Q15" s="1"/>
  <c r="G15"/>
  <c r="D15"/>
  <c r="H15" s="1"/>
  <c r="A15"/>
  <c r="A16" s="1"/>
  <c r="A17" s="1"/>
  <c r="H14"/>
  <c r="G14"/>
  <c r="D14"/>
  <c r="M10"/>
  <c r="Q10" s="1"/>
  <c r="Q11" s="1"/>
  <c r="D9"/>
  <c r="H9" s="1"/>
  <c r="H11" s="1"/>
  <c r="J13" i="4"/>
  <c r="J17"/>
  <c r="B28" l="1"/>
  <c r="B27"/>
  <c r="Q20" i="7"/>
  <c r="H18"/>
  <c r="Q21"/>
  <c r="G11" i="4" s="1"/>
  <c r="H11" s="1"/>
  <c r="H13" s="1"/>
  <c r="H33"/>
  <c r="J35"/>
  <c r="H19" i="7"/>
  <c r="H20" l="1"/>
  <c r="H21" s="1"/>
  <c r="H22" s="1"/>
  <c r="H23" s="1"/>
  <c r="N41" i="4"/>
  <c r="O41" s="1"/>
  <c r="P41" s="1"/>
  <c r="Q41" s="1"/>
  <c r="R41" s="1"/>
  <c r="S41" s="1"/>
  <c r="T41" s="1"/>
  <c r="U41" s="1"/>
  <c r="V41" s="1"/>
  <c r="H15" l="1"/>
  <c r="H35" l="1"/>
  <c r="H17"/>
  <c r="J135"/>
  <c r="J134"/>
  <c r="J133"/>
  <c r="J132"/>
  <c r="J131"/>
  <c r="J128"/>
  <c r="J127"/>
  <c r="J126"/>
  <c r="J125"/>
  <c r="J124"/>
  <c r="J123"/>
  <c r="H36" l="1"/>
  <c r="H37" s="1"/>
  <c r="H38" s="1"/>
  <c r="H39" s="1"/>
  <c r="J39" s="1"/>
  <c r="L41" l="1"/>
  <c r="T42" l="1"/>
  <c r="N42"/>
  <c r="N43" s="1"/>
  <c r="N44" s="1"/>
  <c r="U42"/>
  <c r="Q42"/>
  <c r="S42"/>
  <c r="V42"/>
  <c r="R42"/>
  <c r="P42"/>
  <c r="O42"/>
  <c r="V43" l="1"/>
  <c r="V44" s="1"/>
  <c r="V46" s="1"/>
  <c r="R43"/>
  <c r="R44" s="1"/>
  <c r="O43"/>
  <c r="O44" s="1"/>
  <c r="N45" s="1"/>
  <c r="N47" s="1"/>
  <c r="S43"/>
  <c r="S44" s="1"/>
  <c r="S45" s="1"/>
  <c r="U43"/>
  <c r="U44" s="1"/>
  <c r="T43"/>
  <c r="T44" s="1"/>
  <c r="P43"/>
  <c r="P44" s="1"/>
  <c r="Q43"/>
  <c r="Q44" s="1"/>
  <c r="V45" l="1"/>
  <c r="V47" s="1"/>
  <c r="R45"/>
  <c r="O45"/>
  <c r="O46"/>
  <c r="S46"/>
  <c r="S47" s="1"/>
  <c r="P45"/>
  <c r="P46"/>
  <c r="T46"/>
  <c r="T45"/>
  <c r="U45"/>
  <c r="U46"/>
  <c r="R46"/>
  <c r="Q45"/>
  <c r="Q46"/>
  <c r="R47" l="1"/>
  <c r="O47"/>
  <c r="U47"/>
  <c r="P47"/>
  <c r="Q47"/>
  <c r="T47"/>
  <c r="L49" l="1"/>
  <c r="B35" s="1"/>
</calcChain>
</file>

<file path=xl/sharedStrings.xml><?xml version="1.0" encoding="utf-8"?>
<sst xmlns="http://schemas.openxmlformats.org/spreadsheetml/2006/main" count="158" uniqueCount="109">
  <si>
    <t xml:space="preserve">  </t>
  </si>
  <si>
    <t>NO</t>
  </si>
  <si>
    <t>URAIAN PEKERJAAN</t>
  </si>
  <si>
    <t>VOL</t>
  </si>
  <si>
    <t>SATUAN</t>
  </si>
  <si>
    <t>ANALISA</t>
  </si>
  <si>
    <t>HARGA SATUAN (Rp)</t>
  </si>
  <si>
    <t>JUMLAH HARGA (Rp)</t>
  </si>
  <si>
    <t>I</t>
  </si>
  <si>
    <t>Material</t>
  </si>
  <si>
    <t>unit</t>
  </si>
  <si>
    <t>Hitung</t>
  </si>
  <si>
    <t>bh</t>
  </si>
  <si>
    <t>Ls</t>
  </si>
  <si>
    <t>Jumlah I</t>
  </si>
  <si>
    <t>II</t>
  </si>
  <si>
    <t>Pelaksanaan Pekerjaan</t>
  </si>
  <si>
    <t>ls</t>
  </si>
  <si>
    <t>Jumlah II</t>
  </si>
  <si>
    <t>Jumlah I + II</t>
  </si>
  <si>
    <t>TOTAL</t>
  </si>
  <si>
    <t>Dibulatkan</t>
  </si>
  <si>
    <t>Bh</t>
  </si>
  <si>
    <t>III</t>
  </si>
  <si>
    <t>IV</t>
  </si>
  <si>
    <t>Jumlah III</t>
  </si>
  <si>
    <t>Jumlah IV</t>
  </si>
  <si>
    <t>pcs</t>
  </si>
  <si>
    <t>set</t>
  </si>
  <si>
    <t>Pilot lamp with voltmeter 220VAC</t>
  </si>
  <si>
    <t>roll</t>
  </si>
  <si>
    <t>Relay MK3P OMRON Original lengkap socket</t>
  </si>
  <si>
    <t>Asesoris Pemasangan (terminal kabel, dudukan soket, Isolasi, kabel ties, klem kabel,  fischer )</t>
  </si>
  <si>
    <t>Perakitan panel alarm, setting alarm</t>
  </si>
  <si>
    <t>NYY 4 x 2,5mm SUPREME (1 roll = 50m)</t>
  </si>
  <si>
    <t>MCB 4 pole - 60 A CHINT (setara) lengkap box outbow</t>
  </si>
  <si>
    <t xml:space="preserve"> PERBAIKAN SISTEM SLUICE GATE DI BOOSTER PUMP LAU BENG KLEWANG</t>
  </si>
  <si>
    <t>A</t>
  </si>
  <si>
    <t>Vol</t>
  </si>
  <si>
    <t>sat</t>
  </si>
  <si>
    <t>analisa</t>
  </si>
  <si>
    <t>harga satuan</t>
  </si>
  <si>
    <t>jumlah</t>
  </si>
  <si>
    <t>Kg</t>
  </si>
  <si>
    <t>hitung</t>
  </si>
  <si>
    <t>Jumlah A</t>
  </si>
  <si>
    <t>B</t>
  </si>
  <si>
    <t>Pelaksanaan</t>
  </si>
  <si>
    <t>M'</t>
  </si>
  <si>
    <t>tabel</t>
  </si>
  <si>
    <t>Gerenda &amp; penyetelan</t>
  </si>
  <si>
    <t>sub total B:</t>
  </si>
  <si>
    <t>Jumlah A + B</t>
  </si>
  <si>
    <t>RENCANA ANGGARAN BIAYA PEKERJAAN TEMPAH TIIANG GAWANG PENAHAN BEBAN</t>
  </si>
  <si>
    <t>LOKASI :  DIVISI TRANSMISI DISTRIBUSI</t>
  </si>
  <si>
    <t>No</t>
  </si>
  <si>
    <t>Uraian Pekerjaan</t>
  </si>
  <si>
    <t>Ukuran</t>
  </si>
  <si>
    <t>Volume</t>
  </si>
  <si>
    <t>Satuan</t>
  </si>
  <si>
    <t>Analisa</t>
  </si>
  <si>
    <t>Harga Satuan</t>
  </si>
  <si>
    <t>Jumlah Harga</t>
  </si>
  <si>
    <t>BREAKDOWN PEMBUATAN 1 (SATU) UNIT TIANG GAWANG BESI WF UKURAN 1'00 x 1'00 TINGGI 2'00</t>
  </si>
  <si>
    <t>Ø</t>
  </si>
  <si>
    <t>( Rp )</t>
  </si>
  <si>
    <t>PEMBUATAN TIANG GAWANG PENAHAN</t>
  </si>
  <si>
    <t>PENGADAAN MATERIAL</t>
  </si>
  <si>
    <t>Besi WF Ukuran 200x100x5,5x8 mm (P=12 m)</t>
  </si>
  <si>
    <t>0,100x0,008x12x2x7850</t>
  </si>
  <si>
    <t>Tabel</t>
  </si>
  <si>
    <t>+ 0,184x0,0055x12x7850</t>
  </si>
  <si>
    <t>(0,100x0,008x12x2x7850) + (0,184x0,0055x12x7850)</t>
  </si>
  <si>
    <t>BIAYA PELAKSANAAN</t>
  </si>
  <si>
    <t>Pemotongan Besi WF= 8 mm 11 x potong</t>
  </si>
  <si>
    <t>-</t>
  </si>
  <si>
    <t>Pengelasan Besi WF = 8 mm 14 x las</t>
  </si>
  <si>
    <t>((0,184+0,1+0,1)*11)</t>
  </si>
  <si>
    <t>Foto Dokumentasi</t>
  </si>
  <si>
    <t>Lokasi</t>
  </si>
  <si>
    <t>((0,184+0,1+0,1)*14)</t>
  </si>
  <si>
    <t>DPP 11/12</t>
  </si>
  <si>
    <t>Terbilang :  Sepuluh juta enam ratus tujuh puluh tiga ribu empat ratus empat puluh tujuh rupiah,-</t>
  </si>
  <si>
    <t xml:space="preserve"> PPn 11 %</t>
  </si>
  <si>
    <t>Total</t>
  </si>
  <si>
    <t>Medan,       Maret 2025</t>
  </si>
  <si>
    <t>Disyahkan Oleh,</t>
  </si>
  <si>
    <t>Diketahui Oleh,</t>
  </si>
  <si>
    <t>Dibuat Oleh,</t>
  </si>
  <si>
    <t>Kadiv.Perencanaan Air Minum</t>
  </si>
  <si>
    <t>Kadiv.Transmisi Distribusi</t>
  </si>
  <si>
    <t>Kabid Sistem Jaringan Zona I</t>
  </si>
  <si>
    <t>Tiang Gawang besi WF ukuran 100 x 100  tinggi 200cm</t>
  </si>
  <si>
    <t xml:space="preserve">Material </t>
  </si>
  <si>
    <t>Elektrikal / Control System</t>
  </si>
  <si>
    <t>Box panel 40 x 50 x 20 cm outdoor</t>
  </si>
  <si>
    <t>Push Button Switch 220v/16A</t>
  </si>
  <si>
    <t>Penarikan dan pemasangan kabel dari tiang gawang (sluice gate) ke ruang operator, instalasi kabel</t>
  </si>
  <si>
    <t>Pulley Block 1.5 Ton</t>
  </si>
  <si>
    <t>Penempatan tiang gawang di lokasi, pemasangan elektrikal winch pada tiang gawang, pemasangan katrol pada sluice gate, setting sluice gate.</t>
  </si>
  <si>
    <t xml:space="preserve">Mini Hoist 1200kg MKY 220V (setara) </t>
  </si>
  <si>
    <t>Mekanikal dan Perpipaan</t>
  </si>
  <si>
    <t>titik</t>
  </si>
  <si>
    <t>Jumlah I s/d IV</t>
  </si>
  <si>
    <t>Pemotongan pipa air masuk 600mm sehingga air masuk langsung ke chanel isapan pompa (2 titik potong)</t>
  </si>
  <si>
    <t xml:space="preserve"> Rupiah</t>
  </si>
  <si>
    <t>PPN 12%</t>
  </si>
  <si>
    <t>ESTIMASI ANGGARAN BIAYA PEKERJAAN</t>
  </si>
  <si>
    <t>OMRON limiter switch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</si>
</sst>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 * #,##0.00_ ;_ * \-#,##0.00_ ;_ * &quot;-&quot;??_ ;_ @_ "/>
    <numFmt numFmtId="168" formatCode="_(* #,##0.0_);_(* \(#,##0.0\);_(* &quot;-&quot;_);_(@_)"/>
    <numFmt numFmtId="169" formatCode="\ &quot;Terbilang :&quot;\ @"/>
    <numFmt numFmtId="170" formatCode="_-* #,##0_-;\-* #,##0_-;_-* &quot;-&quot;??_-;_-@_-"/>
  </numFmts>
  <fonts count="34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i/>
      <sz val="12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Verdana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u val="singleAccounting"/>
      <sz val="12"/>
      <name val="Calibri"/>
      <family val="2"/>
    </font>
    <font>
      <sz val="13"/>
      <name val="Calibri"/>
      <family val="2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 val="singleAccounting"/>
      <sz val="13"/>
      <color theme="1"/>
      <name val="Calibri"/>
      <family val="2"/>
      <scheme val="minor"/>
    </font>
    <font>
      <sz val="13"/>
      <name val="Arial"/>
      <family val="2"/>
    </font>
    <font>
      <b/>
      <u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1" fillId="0" borderId="0">
      <alignment vertical="center"/>
    </xf>
    <xf numFmtId="0" fontId="3" fillId="0" borderId="0"/>
    <xf numFmtId="164" fontId="3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1" applyFont="1">
      <alignment vertical="center"/>
    </xf>
    <xf numFmtId="0" fontId="2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wrapText="1"/>
    </xf>
    <xf numFmtId="0" fontId="2" fillId="0" borderId="12" xfId="2" applyFont="1" applyBorder="1" applyAlignment="1">
      <alignment horizontal="center" vertical="center" wrapText="1"/>
    </xf>
    <xf numFmtId="164" fontId="2" fillId="0" borderId="12" xfId="3" applyFont="1" applyFill="1" applyBorder="1" applyAlignment="1">
      <alignment horizontal="center" vertical="center" wrapText="1"/>
    </xf>
    <xf numFmtId="164" fontId="2" fillId="0" borderId="13" xfId="3" applyFont="1" applyFill="1" applyBorder="1" applyAlignment="1">
      <alignment horizontal="center" vertical="center" wrapText="1"/>
    </xf>
    <xf numFmtId="0" fontId="9" fillId="0" borderId="0" xfId="2" applyFont="1"/>
    <xf numFmtId="166" fontId="6" fillId="0" borderId="0" xfId="3" applyNumberFormat="1" applyFont="1" applyBorder="1" applyAlignment="1">
      <alignment horizontal="center" vertical="center" wrapText="1"/>
    </xf>
    <xf numFmtId="164" fontId="6" fillId="0" borderId="0" xfId="3" applyFont="1" applyBorder="1" applyAlignment="1">
      <alignment horizontal="center" vertical="center" wrapText="1"/>
    </xf>
    <xf numFmtId="0" fontId="2" fillId="0" borderId="12" xfId="2" applyFont="1" applyBorder="1" applyAlignment="1">
      <alignment wrapText="1"/>
    </xf>
    <xf numFmtId="0" fontId="6" fillId="0" borderId="0" xfId="2" applyFont="1"/>
    <xf numFmtId="167" fontId="6" fillId="0" borderId="0" xfId="4" applyFont="1" applyBorder="1" applyAlignment="1">
      <alignment horizontal="center" vertical="center" wrapText="1"/>
    </xf>
    <xf numFmtId="10" fontId="6" fillId="0" borderId="0" xfId="2" applyNumberFormat="1" applyFont="1" applyAlignment="1">
      <alignment horizontal="center" vertical="center" wrapText="1"/>
    </xf>
    <xf numFmtId="10" fontId="6" fillId="0" borderId="0" xfId="4" applyNumberFormat="1" applyFont="1" applyBorder="1" applyAlignment="1">
      <alignment horizontal="right" vertical="center" wrapText="1"/>
    </xf>
    <xf numFmtId="37" fontId="6" fillId="0" borderId="0" xfId="3" applyNumberFormat="1" applyFont="1" applyBorder="1" applyAlignment="1">
      <alignment horizontal="right" vertical="center" wrapText="1"/>
    </xf>
    <xf numFmtId="0" fontId="2" fillId="0" borderId="11" xfId="2" applyFont="1" applyBorder="1" applyAlignment="1">
      <alignment horizontal="center" vertical="top"/>
    </xf>
    <xf numFmtId="0" fontId="2" fillId="0" borderId="12" xfId="2" applyFont="1" applyBorder="1" applyAlignment="1">
      <alignment horizontal="center" vertical="top" wrapText="1"/>
    </xf>
    <xf numFmtId="39" fontId="2" fillId="0" borderId="12" xfId="3" applyNumberFormat="1" applyFont="1" applyFill="1" applyBorder="1" applyAlignment="1">
      <alignment horizontal="right" vertical="top" wrapText="1"/>
    </xf>
    <xf numFmtId="39" fontId="2" fillId="0" borderId="13" xfId="3" applyNumberFormat="1" applyFont="1" applyFill="1" applyBorder="1" applyAlignment="1">
      <alignment horizontal="right" vertical="top" wrapText="1"/>
    </xf>
    <xf numFmtId="0" fontId="2" fillId="0" borderId="12" xfId="2" applyFont="1" applyBorder="1" applyAlignment="1">
      <alignment vertical="center" wrapText="1"/>
    </xf>
    <xf numFmtId="0" fontId="2" fillId="0" borderId="15" xfId="2" applyFont="1" applyBorder="1" applyAlignment="1">
      <alignment horizontal="center" vertical="center" wrapText="1"/>
    </xf>
    <xf numFmtId="39" fontId="2" fillId="0" borderId="15" xfId="3" applyNumberFormat="1" applyFont="1" applyFill="1" applyBorder="1" applyAlignment="1">
      <alignment horizontal="right" vertical="center" wrapText="1"/>
    </xf>
    <xf numFmtId="39" fontId="2" fillId="0" borderId="16" xfId="3" applyNumberFormat="1" applyFont="1" applyFill="1" applyBorder="1" applyAlignment="1">
      <alignment horizontal="right" vertical="center" wrapText="1"/>
    </xf>
    <xf numFmtId="0" fontId="2" fillId="0" borderId="21" xfId="2" applyFont="1" applyBorder="1" applyAlignment="1">
      <alignment wrapText="1"/>
    </xf>
    <xf numFmtId="165" fontId="6" fillId="0" borderId="0" xfId="2" applyNumberFormat="1" applyFont="1" applyAlignment="1">
      <alignment horizontal="center" vertical="center" wrapText="1"/>
    </xf>
    <xf numFmtId="167" fontId="6" fillId="0" borderId="0" xfId="4" applyFont="1" applyBorder="1" applyAlignment="1">
      <alignment horizontal="right" vertical="center" wrapText="1"/>
    </xf>
    <xf numFmtId="0" fontId="7" fillId="0" borderId="11" xfId="2" applyFont="1" applyBorder="1" applyAlignment="1">
      <alignment horizontal="center" vertical="top"/>
    </xf>
    <xf numFmtId="0" fontId="2" fillId="0" borderId="19" xfId="2" applyFont="1" applyBorder="1" applyAlignment="1">
      <alignment horizontal="center" vertical="top" wrapText="1"/>
    </xf>
    <xf numFmtId="39" fontId="2" fillId="0" borderId="19" xfId="3" applyNumberFormat="1" applyFont="1" applyFill="1" applyBorder="1" applyAlignment="1">
      <alignment horizontal="right" vertical="top" wrapText="1"/>
    </xf>
    <xf numFmtId="39" fontId="2" fillId="0" borderId="20" xfId="3" applyNumberFormat="1" applyFont="1" applyFill="1" applyBorder="1" applyAlignment="1">
      <alignment horizontal="right" vertical="top" wrapText="1"/>
    </xf>
    <xf numFmtId="0" fontId="2" fillId="0" borderId="11" xfId="2" applyFont="1" applyBorder="1" applyAlignment="1">
      <alignment horizontal="center" vertical="center"/>
    </xf>
    <xf numFmtId="39" fontId="2" fillId="0" borderId="12" xfId="3" applyNumberFormat="1" applyFont="1" applyFill="1" applyBorder="1" applyAlignment="1">
      <alignment horizontal="right" vertical="center" wrapText="1"/>
    </xf>
    <xf numFmtId="39" fontId="2" fillId="0" borderId="13" xfId="3" applyNumberFormat="1" applyFont="1" applyFill="1" applyBorder="1" applyAlignment="1">
      <alignment horizontal="right" vertical="center" wrapText="1"/>
    </xf>
    <xf numFmtId="0" fontId="2" fillId="0" borderId="15" xfId="2" applyFont="1" applyBorder="1" applyAlignment="1">
      <alignment horizontal="center" vertical="top" wrapText="1"/>
    </xf>
    <xf numFmtId="39" fontId="2" fillId="0" borderId="15" xfId="3" applyNumberFormat="1" applyFont="1" applyFill="1" applyBorder="1" applyAlignment="1">
      <alignment horizontal="right" vertical="top" wrapText="1"/>
    </xf>
    <xf numFmtId="39" fontId="2" fillId="0" borderId="16" xfId="3" applyNumberFormat="1" applyFont="1" applyFill="1" applyBorder="1" applyAlignment="1">
      <alignment horizontal="right" vertical="top" wrapText="1"/>
    </xf>
    <xf numFmtId="0" fontId="2" fillId="0" borderId="17" xfId="2" applyFont="1" applyBorder="1" applyAlignment="1">
      <alignment horizontal="center" vertical="top"/>
    </xf>
    <xf numFmtId="0" fontId="2" fillId="0" borderId="0" xfId="2" applyFont="1" applyAlignment="1">
      <alignment wrapText="1"/>
    </xf>
    <xf numFmtId="0" fontId="2" fillId="0" borderId="18" xfId="2" applyFont="1" applyBorder="1" applyAlignment="1">
      <alignment horizontal="center" vertical="top" wrapText="1"/>
    </xf>
    <xf numFmtId="39" fontId="2" fillId="0" borderId="18" xfId="3" applyNumberFormat="1" applyFont="1" applyFill="1" applyBorder="1" applyAlignment="1">
      <alignment horizontal="right" vertical="top" wrapText="1"/>
    </xf>
    <xf numFmtId="39" fontId="2" fillId="0" borderId="22" xfId="3" applyNumberFormat="1" applyFont="1" applyFill="1" applyBorder="1" applyAlignment="1">
      <alignment horizontal="right" vertical="top" wrapText="1"/>
    </xf>
    <xf numFmtId="167" fontId="7" fillId="0" borderId="10" xfId="2" applyNumberFormat="1" applyFont="1" applyBorder="1"/>
    <xf numFmtId="167" fontId="2" fillId="0" borderId="0" xfId="4" applyFont="1" applyAlignment="1"/>
    <xf numFmtId="39" fontId="7" fillId="0" borderId="13" xfId="2" applyNumberFormat="1" applyFont="1" applyBorder="1" applyAlignment="1">
      <alignment horizontal="right" vertical="center"/>
    </xf>
    <xf numFmtId="39" fontId="7" fillId="0" borderId="7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" fillId="0" borderId="0" xfId="1" applyAlignment="1">
      <alignment vertical="center" wrapText="1"/>
    </xf>
    <xf numFmtId="0" fontId="11" fillId="0" borderId="0" xfId="2" applyFont="1" applyAlignment="1">
      <alignment horizontal="left"/>
    </xf>
    <xf numFmtId="17" fontId="2" fillId="0" borderId="0" xfId="1" applyNumberFormat="1" applyFont="1">
      <alignment vertical="center"/>
    </xf>
    <xf numFmtId="0" fontId="7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4" fillId="0" borderId="0" xfId="1" applyFont="1">
      <alignment vertical="center"/>
    </xf>
    <xf numFmtId="0" fontId="4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wrapText="1"/>
    </xf>
    <xf numFmtId="0" fontId="4" fillId="0" borderId="20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2" fillId="0" borderId="21" xfId="2" applyFont="1" applyBorder="1"/>
    <xf numFmtId="0" fontId="8" fillId="0" borderId="21" xfId="2" applyFont="1" applyBorder="1" applyAlignment="1">
      <alignment wrapText="1"/>
    </xf>
    <xf numFmtId="0" fontId="2" fillId="0" borderId="21" xfId="2" applyFont="1" applyBorder="1" applyAlignment="1">
      <alignment vertical="top" wrapText="1"/>
    </xf>
    <xf numFmtId="0" fontId="2" fillId="0" borderId="39" xfId="2" applyFont="1" applyBorder="1" applyAlignment="1">
      <alignment horizontal="center" vertical="top"/>
    </xf>
    <xf numFmtId="0" fontId="2" fillId="0" borderId="40" xfId="2" applyFont="1" applyBorder="1"/>
    <xf numFmtId="0" fontId="2" fillId="0" borderId="36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/>
    </xf>
    <xf numFmtId="0" fontId="2" fillId="0" borderId="0" xfId="1" applyFont="1" applyAlignment="1">
      <alignment vertical="center" wrapText="1"/>
    </xf>
    <xf numFmtId="0" fontId="1" fillId="0" borderId="0" xfId="1" applyAlignment="1"/>
    <xf numFmtId="0" fontId="4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left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/>
    </xf>
    <xf numFmtId="0" fontId="8" fillId="0" borderId="0" xfId="2" applyFont="1" applyAlignment="1">
      <alignment wrapText="1"/>
    </xf>
    <xf numFmtId="0" fontId="2" fillId="0" borderId="18" xfId="2" applyFont="1" applyBorder="1" applyAlignment="1">
      <alignment horizontal="center" vertical="center" wrapText="1"/>
    </xf>
    <xf numFmtId="164" fontId="2" fillId="0" borderId="18" xfId="3" applyFont="1" applyFill="1" applyBorder="1" applyAlignment="1">
      <alignment horizontal="center" vertical="center" wrapText="1"/>
    </xf>
    <xf numFmtId="164" fontId="2" fillId="0" borderId="22" xfId="3" applyFont="1" applyFill="1" applyBorder="1" applyAlignment="1">
      <alignment horizontal="center" vertical="center" wrapText="1"/>
    </xf>
    <xf numFmtId="0" fontId="2" fillId="0" borderId="18" xfId="2" applyFont="1" applyBorder="1" applyAlignment="1">
      <alignment wrapText="1"/>
    </xf>
    <xf numFmtId="39" fontId="7" fillId="0" borderId="18" xfId="3" applyNumberFormat="1" applyFont="1" applyFill="1" applyBorder="1" applyAlignment="1">
      <alignment horizontal="right" vertical="top" wrapText="1"/>
    </xf>
    <xf numFmtId="39" fontId="7" fillId="0" borderId="22" xfId="3" applyNumberFormat="1" applyFont="1" applyFill="1" applyBorder="1" applyAlignment="1">
      <alignment horizontal="right" vertical="top" wrapText="1"/>
    </xf>
    <xf numFmtId="0" fontId="7" fillId="0" borderId="17" xfId="2" applyFont="1" applyBorder="1" applyAlignment="1">
      <alignment horizontal="center" vertical="top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center"/>
    </xf>
    <xf numFmtId="0" fontId="7" fillId="0" borderId="6" xfId="2" applyFont="1" applyBorder="1" applyAlignment="1">
      <alignment horizontal="right"/>
    </xf>
    <xf numFmtId="167" fontId="7" fillId="0" borderId="7" xfId="2" applyNumberFormat="1" applyFont="1" applyBorder="1"/>
    <xf numFmtId="165" fontId="7" fillId="0" borderId="41" xfId="2" applyNumberFormat="1" applyFont="1" applyBorder="1"/>
    <xf numFmtId="167" fontId="7" fillId="0" borderId="27" xfId="2" applyNumberFormat="1" applyFont="1" applyBorder="1"/>
    <xf numFmtId="165" fontId="7" fillId="0" borderId="42" xfId="2" applyNumberFormat="1" applyFont="1" applyBorder="1"/>
    <xf numFmtId="167" fontId="7" fillId="0" borderId="27" xfId="4" applyFont="1" applyBorder="1">
      <alignment vertical="center"/>
    </xf>
    <xf numFmtId="39" fontId="7" fillId="0" borderId="27" xfId="2" applyNumberFormat="1" applyFont="1" applyBorder="1" applyAlignment="1">
      <alignment horizontal="right" vertical="center"/>
    </xf>
    <xf numFmtId="165" fontId="7" fillId="0" borderId="43" xfId="2" applyNumberFormat="1" applyFont="1" applyBorder="1"/>
    <xf numFmtId="167" fontId="7" fillId="0" borderId="47" xfId="2" applyNumberFormat="1" applyFont="1" applyBorder="1"/>
    <xf numFmtId="167" fontId="7" fillId="0" borderId="0" xfId="2" applyNumberFormat="1" applyFont="1"/>
    <xf numFmtId="167" fontId="7" fillId="0" borderId="51" xfId="4" applyFont="1" applyBorder="1">
      <alignment vertical="center"/>
    </xf>
    <xf numFmtId="167" fontId="7" fillId="0" borderId="0" xfId="4" applyFont="1" applyBorder="1">
      <alignment vertical="center"/>
    </xf>
    <xf numFmtId="39" fontId="7" fillId="0" borderId="51" xfId="2" applyNumberFormat="1" applyFont="1" applyBorder="1" applyAlignment="1">
      <alignment horizontal="right" vertical="center"/>
    </xf>
    <xf numFmtId="39" fontId="7" fillId="0" borderId="0" xfId="2" applyNumberFormat="1" applyFont="1" applyAlignment="1">
      <alignment horizontal="right" vertical="center"/>
    </xf>
    <xf numFmtId="0" fontId="15" fillId="0" borderId="0" xfId="7"/>
    <xf numFmtId="0" fontId="15" fillId="0" borderId="0" xfId="7" applyAlignment="1">
      <alignment horizontal="center"/>
    </xf>
    <xf numFmtId="0" fontId="2" fillId="0" borderId="14" xfId="2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14" xfId="2" applyFont="1" applyBorder="1" applyAlignment="1">
      <alignment horizontal="center" vertical="top"/>
    </xf>
    <xf numFmtId="0" fontId="2" fillId="0" borderId="12" xfId="2" applyFont="1" applyBorder="1" applyAlignment="1">
      <alignment vertical="top" wrapText="1"/>
    </xf>
    <xf numFmtId="0" fontId="6" fillId="0" borderId="0" xfId="2" applyFont="1" applyAlignment="1">
      <alignment vertical="top"/>
    </xf>
    <xf numFmtId="167" fontId="6" fillId="0" borderId="0" xfId="4" applyFont="1" applyBorder="1" applyAlignment="1">
      <alignment horizontal="center" vertical="top" wrapText="1"/>
    </xf>
    <xf numFmtId="10" fontId="6" fillId="0" borderId="0" xfId="2" applyNumberFormat="1" applyFont="1" applyAlignment="1">
      <alignment horizontal="center" vertical="top" wrapText="1"/>
    </xf>
    <xf numFmtId="10" fontId="6" fillId="0" borderId="0" xfId="4" applyNumberFormat="1" applyFont="1" applyBorder="1" applyAlignment="1">
      <alignment horizontal="right" vertical="top" wrapText="1"/>
    </xf>
    <xf numFmtId="37" fontId="6" fillId="0" borderId="0" xfId="3" applyNumberFormat="1" applyFont="1" applyBorder="1" applyAlignment="1">
      <alignment horizontal="right" vertical="top" wrapText="1"/>
    </xf>
    <xf numFmtId="165" fontId="2" fillId="0" borderId="0" xfId="2" applyNumberFormat="1" applyFont="1"/>
    <xf numFmtId="168" fontId="2" fillId="0" borderId="0" xfId="1" applyNumberFormat="1" applyFont="1">
      <alignment vertical="center"/>
    </xf>
    <xf numFmtId="168" fontId="2" fillId="0" borderId="0" xfId="3" applyNumberFormat="1" applyFont="1" applyAlignment="1">
      <alignment horizontal="center"/>
    </xf>
    <xf numFmtId="168" fontId="5" fillId="0" borderId="1" xfId="2" applyNumberFormat="1" applyFont="1" applyBorder="1" applyAlignment="1">
      <alignment horizontal="center" vertical="center"/>
    </xf>
    <xf numFmtId="168" fontId="4" fillId="0" borderId="9" xfId="3" applyNumberFormat="1" applyFont="1" applyFill="1" applyBorder="1" applyAlignment="1">
      <alignment horizontal="center" vertical="center"/>
    </xf>
    <xf numFmtId="168" fontId="2" fillId="0" borderId="12" xfId="3" applyNumberFormat="1" applyFont="1" applyFill="1" applyBorder="1" applyAlignment="1">
      <alignment horizontal="center" vertical="center" wrapText="1"/>
    </xf>
    <xf numFmtId="168" fontId="2" fillId="0" borderId="15" xfId="4" applyNumberFormat="1" applyFont="1" applyFill="1" applyBorder="1" applyAlignment="1">
      <alignment horizontal="center" vertical="center" wrapText="1"/>
    </xf>
    <xf numFmtId="168" fontId="2" fillId="0" borderId="12" xfId="4" applyNumberFormat="1" applyFont="1" applyFill="1" applyBorder="1" applyAlignment="1">
      <alignment horizontal="center" vertical="top" wrapText="1"/>
    </xf>
    <xf numFmtId="168" fontId="2" fillId="0" borderId="19" xfId="4" applyNumberFormat="1" applyFont="1" applyFill="1" applyBorder="1" applyAlignment="1">
      <alignment horizontal="center" vertical="top" wrapText="1"/>
    </xf>
    <xf numFmtId="168" fontId="2" fillId="0" borderId="12" xfId="4" applyNumberFormat="1" applyFont="1" applyFill="1" applyBorder="1" applyAlignment="1">
      <alignment horizontal="center" vertical="center" wrapText="1"/>
    </xf>
    <xf numFmtId="168" fontId="2" fillId="0" borderId="18" xfId="4" applyNumberFormat="1" applyFont="1" applyFill="1" applyBorder="1" applyAlignment="1">
      <alignment horizontal="center" vertical="top" wrapText="1"/>
    </xf>
    <xf numFmtId="168" fontId="12" fillId="0" borderId="0" xfId="2" applyNumberFormat="1" applyFont="1" applyAlignment="1">
      <alignment horizontal="center"/>
    </xf>
    <xf numFmtId="168" fontId="4" fillId="0" borderId="19" xfId="3" applyNumberFormat="1" applyFont="1" applyFill="1" applyBorder="1" applyAlignment="1">
      <alignment horizontal="center" vertical="center"/>
    </xf>
    <xf numFmtId="168" fontId="2" fillId="0" borderId="35" xfId="4" applyNumberFormat="1" applyFont="1" applyFill="1" applyBorder="1" applyAlignment="1">
      <alignment horizontal="center" vertical="top" wrapText="1"/>
    </xf>
    <xf numFmtId="168" fontId="2" fillId="0" borderId="0" xfId="4" applyNumberFormat="1" applyFont="1" applyFill="1" applyBorder="1" applyAlignment="1">
      <alignment horizontal="center" vertical="top" wrapText="1"/>
    </xf>
    <xf numFmtId="168" fontId="4" fillId="0" borderId="0" xfId="2" applyNumberFormat="1" applyFont="1" applyAlignment="1">
      <alignment horizontal="center"/>
    </xf>
    <xf numFmtId="168" fontId="4" fillId="0" borderId="18" xfId="3" applyNumberFormat="1" applyFont="1" applyFill="1" applyBorder="1" applyAlignment="1">
      <alignment horizontal="center" vertical="center"/>
    </xf>
    <xf numFmtId="168" fontId="2" fillId="0" borderId="18" xfId="3" applyNumberFormat="1" applyFont="1" applyFill="1" applyBorder="1" applyAlignment="1">
      <alignment horizontal="center" vertical="center" wrapText="1"/>
    </xf>
    <xf numFmtId="164" fontId="17" fillId="2" borderId="0" xfId="5" applyFont="1" applyFill="1"/>
    <xf numFmtId="0" fontId="18" fillId="2" borderId="0" xfId="1" applyFont="1" applyFill="1" applyAlignment="1"/>
    <xf numFmtId="0" fontId="17" fillId="2" borderId="0" xfId="1" applyFont="1" applyFill="1" applyAlignment="1"/>
    <xf numFmtId="164" fontId="18" fillId="2" borderId="0" xfId="1" applyNumberFormat="1" applyFont="1" applyFill="1" applyAlignment="1"/>
    <xf numFmtId="0" fontId="2" fillId="0" borderId="21" xfId="2" applyFont="1" applyBorder="1" applyAlignment="1">
      <alignment horizontal="center" vertical="top" wrapText="1"/>
    </xf>
    <xf numFmtId="39" fontId="7" fillId="0" borderId="12" xfId="3" applyNumberFormat="1" applyFont="1" applyFill="1" applyBorder="1" applyAlignment="1">
      <alignment horizontal="center" vertical="top" wrapText="1"/>
    </xf>
    <xf numFmtId="39" fontId="7" fillId="0" borderId="13" xfId="3" applyNumberFormat="1" applyFont="1" applyFill="1" applyBorder="1" applyAlignment="1">
      <alignment horizontal="right" vertical="top" wrapText="1"/>
    </xf>
    <xf numFmtId="0" fontId="11" fillId="3" borderId="12" xfId="2" applyFont="1" applyFill="1" applyBorder="1" applyAlignment="1">
      <alignment vertical="center" wrapText="1"/>
    </xf>
    <xf numFmtId="166" fontId="22" fillId="0" borderId="0" xfId="12" applyNumberFormat="1" applyFont="1" applyBorder="1" applyAlignment="1">
      <alignment horizontal="right"/>
    </xf>
    <xf numFmtId="166" fontId="22" fillId="0" borderId="56" xfId="12" applyNumberFormat="1" applyFont="1" applyBorder="1"/>
    <xf numFmtId="166" fontId="23" fillId="0" borderId="0" xfId="12" applyNumberFormat="1" applyFont="1" applyBorder="1" applyAlignment="1">
      <alignment horizontal="right"/>
    </xf>
    <xf numFmtId="166" fontId="19" fillId="0" borderId="0" xfId="12" applyNumberFormat="1" applyFont="1" applyBorder="1" applyAlignment="1">
      <alignment horizontal="right"/>
    </xf>
    <xf numFmtId="166" fontId="19" fillId="0" borderId="56" xfId="12" applyNumberFormat="1" applyFont="1" applyBorder="1"/>
    <xf numFmtId="166" fontId="22" fillId="0" borderId="0" xfId="11" applyNumberFormat="1" applyFont="1" applyBorder="1"/>
    <xf numFmtId="166" fontId="22" fillId="0" borderId="56" xfId="11" applyNumberFormat="1" applyFont="1" applyBorder="1"/>
    <xf numFmtId="0" fontId="15" fillId="0" borderId="0" xfId="13"/>
    <xf numFmtId="43" fontId="16" fillId="0" borderId="0" xfId="14" applyFont="1"/>
    <xf numFmtId="0" fontId="15" fillId="0" borderId="0" xfId="7" applyAlignment="1">
      <alignment horizontal="center" vertical="center"/>
    </xf>
    <xf numFmtId="170" fontId="27" fillId="4" borderId="61" xfId="11" applyNumberFormat="1" applyFont="1" applyFill="1" applyBorder="1" applyAlignment="1">
      <alignment horizontal="center" vertical="center"/>
    </xf>
    <xf numFmtId="43" fontId="27" fillId="4" borderId="62" xfId="11" applyFont="1" applyFill="1" applyBorder="1" applyAlignment="1">
      <alignment horizontal="center" vertical="center"/>
    </xf>
    <xf numFmtId="43" fontId="27" fillId="4" borderId="63" xfId="11" applyFont="1" applyFill="1" applyBorder="1" applyAlignment="1">
      <alignment horizontal="center" vertical="center"/>
    </xf>
    <xf numFmtId="170" fontId="27" fillId="4" borderId="64" xfId="11" applyNumberFormat="1" applyFont="1" applyFill="1" applyBorder="1" applyAlignment="1">
      <alignment horizontal="center" vertical="center"/>
    </xf>
    <xf numFmtId="43" fontId="27" fillId="4" borderId="65" xfId="11" applyFont="1" applyFill="1" applyBorder="1" applyAlignment="1">
      <alignment horizontal="center" vertical="center"/>
    </xf>
    <xf numFmtId="43" fontId="27" fillId="4" borderId="66" xfId="11" applyFont="1" applyFill="1" applyBorder="1" applyAlignment="1">
      <alignment horizontal="center" vertical="center"/>
    </xf>
    <xf numFmtId="0" fontId="1" fillId="0" borderId="55" xfId="7" applyFont="1" applyBorder="1"/>
    <xf numFmtId="0" fontId="19" fillId="0" borderId="0" xfId="7" applyFont="1" applyAlignment="1">
      <alignment horizontal="center"/>
    </xf>
    <xf numFmtId="0" fontId="19" fillId="0" borderId="56" xfId="7" applyFont="1" applyBorder="1" applyAlignment="1">
      <alignment horizontal="center"/>
    </xf>
    <xf numFmtId="170" fontId="27" fillId="5" borderId="67" xfId="11" applyNumberFormat="1" applyFont="1" applyFill="1" applyBorder="1" applyAlignment="1">
      <alignment horizontal="center" vertical="center"/>
    </xf>
    <xf numFmtId="43" fontId="27" fillId="5" borderId="68" xfId="11" applyFont="1" applyFill="1" applyBorder="1" applyAlignment="1">
      <alignment horizontal="left" vertical="center"/>
    </xf>
    <xf numFmtId="43" fontId="27" fillId="5" borderId="69" xfId="11" applyFont="1" applyFill="1" applyBorder="1" applyAlignment="1">
      <alignment horizontal="center" vertical="center"/>
    </xf>
    <xf numFmtId="43" fontId="27" fillId="5" borderId="68" xfId="11" applyFont="1" applyFill="1" applyBorder="1" applyAlignment="1">
      <alignment horizontal="center" vertical="center"/>
    </xf>
    <xf numFmtId="43" fontId="27" fillId="5" borderId="70" xfId="11" applyFont="1" applyFill="1" applyBorder="1" applyAlignment="1">
      <alignment horizontal="center" vertical="center"/>
    </xf>
    <xf numFmtId="170" fontId="28" fillId="4" borderId="71" xfId="11" applyNumberFormat="1" applyFont="1" applyFill="1" applyBorder="1" applyAlignment="1">
      <alignment horizontal="center" vertical="center"/>
    </xf>
    <xf numFmtId="43" fontId="29" fillId="4" borderId="72" xfId="11" applyFont="1" applyFill="1" applyBorder="1"/>
    <xf numFmtId="43" fontId="29" fillId="4" borderId="73" xfId="11" applyFont="1" applyFill="1" applyBorder="1" applyAlignment="1">
      <alignment horizontal="center" vertical="center"/>
    </xf>
    <xf numFmtId="43" fontId="29" fillId="4" borderId="72" xfId="11" applyFont="1" applyFill="1" applyBorder="1" applyAlignment="1">
      <alignment horizontal="center" vertical="center"/>
    </xf>
    <xf numFmtId="43" fontId="29" fillId="4" borderId="72" xfId="11" applyFont="1" applyFill="1" applyBorder="1" applyAlignment="1">
      <alignment horizontal="center"/>
    </xf>
    <xf numFmtId="43" fontId="29" fillId="4" borderId="74" xfId="11" applyFont="1" applyFill="1" applyBorder="1"/>
    <xf numFmtId="0" fontId="20" fillId="0" borderId="0" xfId="7" applyFont="1" applyAlignment="1">
      <alignment horizontal="center"/>
    </xf>
    <xf numFmtId="0" fontId="20" fillId="0" borderId="56" xfId="7" applyFont="1" applyBorder="1" applyAlignment="1">
      <alignment horizontal="center"/>
    </xf>
    <xf numFmtId="170" fontId="29" fillId="4" borderId="75" xfId="11" applyNumberFormat="1" applyFont="1" applyFill="1" applyBorder="1" applyAlignment="1">
      <alignment horizontal="center" vertical="center"/>
    </xf>
    <xf numFmtId="0" fontId="25" fillId="0" borderId="18" xfId="7" applyFont="1" applyBorder="1"/>
    <xf numFmtId="0" fontId="25" fillId="0" borderId="18" xfId="7" applyFont="1" applyBorder="1" applyAlignment="1">
      <alignment horizontal="left"/>
    </xf>
    <xf numFmtId="166" fontId="25" fillId="0" borderId="18" xfId="12" applyNumberFormat="1" applyFont="1" applyBorder="1" applyAlignment="1">
      <alignment horizontal="right"/>
    </xf>
    <xf numFmtId="0" fontId="25" fillId="0" borderId="18" xfId="7" applyFont="1" applyBorder="1" applyAlignment="1">
      <alignment horizontal="center"/>
    </xf>
    <xf numFmtId="43" fontId="29" fillId="4" borderId="76" xfId="11" applyFont="1" applyFill="1" applyBorder="1" applyAlignment="1">
      <alignment horizontal="center"/>
    </xf>
    <xf numFmtId="43" fontId="29" fillId="4" borderId="77" xfId="11" applyFont="1" applyFill="1" applyBorder="1"/>
    <xf numFmtId="0" fontId="7" fillId="0" borderId="55" xfId="7" applyFont="1" applyBorder="1" applyAlignment="1">
      <alignment horizontal="center"/>
    </xf>
    <xf numFmtId="0" fontId="21" fillId="0" borderId="0" xfId="7" applyFont="1"/>
    <xf numFmtId="0" fontId="22" fillId="0" borderId="0" xfId="7" applyFont="1"/>
    <xf numFmtId="49" fontId="25" fillId="0" borderId="18" xfId="7" applyNumberFormat="1" applyFont="1" applyBorder="1" applyAlignment="1">
      <alignment horizontal="left"/>
    </xf>
    <xf numFmtId="43" fontId="29" fillId="4" borderId="76" xfId="11" applyFont="1" applyFill="1" applyBorder="1" applyAlignment="1">
      <alignment horizontal="center" vertical="center"/>
    </xf>
    <xf numFmtId="43" fontId="28" fillId="4" borderId="76" xfId="11" applyFont="1" applyFill="1" applyBorder="1" applyAlignment="1">
      <alignment horizontal="center" vertical="center" wrapText="1"/>
    </xf>
    <xf numFmtId="43" fontId="28" fillId="4" borderId="76" xfId="11" applyFont="1" applyFill="1" applyBorder="1" applyAlignment="1">
      <alignment horizontal="right"/>
    </xf>
    <xf numFmtId="43" fontId="28" fillId="4" borderId="77" xfId="11" applyFont="1" applyFill="1" applyBorder="1" applyAlignment="1">
      <alignment horizontal="right"/>
    </xf>
    <xf numFmtId="0" fontId="2" fillId="0" borderId="55" xfId="7" applyFont="1" applyBorder="1"/>
    <xf numFmtId="0" fontId="22" fillId="0" borderId="0" xfId="7" applyFont="1" applyAlignment="1">
      <alignment horizontal="left" wrapText="1"/>
    </xf>
    <xf numFmtId="0" fontId="22" fillId="0" borderId="0" xfId="7" applyFont="1" applyAlignment="1">
      <alignment horizontal="center"/>
    </xf>
    <xf numFmtId="43" fontId="27" fillId="4" borderId="76" xfId="11" applyFont="1" applyFill="1" applyBorder="1"/>
    <xf numFmtId="43" fontId="28" fillId="4" borderId="76" xfId="11" applyFont="1" applyFill="1" applyBorder="1" applyAlignment="1">
      <alignment horizontal="center" vertical="center"/>
    </xf>
    <xf numFmtId="43" fontId="30" fillId="4" borderId="76" xfId="11" applyFont="1" applyFill="1" applyBorder="1"/>
    <xf numFmtId="43" fontId="27" fillId="4" borderId="77" xfId="11" applyFont="1" applyFill="1" applyBorder="1"/>
    <xf numFmtId="43" fontId="29" fillId="4" borderId="76" xfId="11" applyFont="1" applyFill="1" applyBorder="1"/>
    <xf numFmtId="43" fontId="28" fillId="4" borderId="76" xfId="11" applyFont="1" applyFill="1" applyBorder="1"/>
    <xf numFmtId="43" fontId="31" fillId="4" borderId="76" xfId="11" applyFont="1" applyFill="1" applyBorder="1"/>
    <xf numFmtId="0" fontId="32" fillId="0" borderId="78" xfId="7" applyFont="1" applyBorder="1"/>
    <xf numFmtId="2" fontId="29" fillId="0" borderId="18" xfId="7" applyNumberFormat="1" applyFont="1" applyBorder="1"/>
    <xf numFmtId="166" fontId="25" fillId="0" borderId="18" xfId="11" applyNumberFormat="1" applyFont="1" applyBorder="1"/>
    <xf numFmtId="0" fontId="19" fillId="0" borderId="60" xfId="7" applyFont="1" applyBorder="1"/>
    <xf numFmtId="2" fontId="25" fillId="0" borderId="18" xfId="7" applyNumberFormat="1" applyFont="1" applyBorder="1"/>
    <xf numFmtId="43" fontId="28" fillId="4" borderId="76" xfId="11" quotePrefix="1" applyFont="1" applyFill="1" applyBorder="1" applyAlignment="1">
      <alignment horizontal="center" vertical="center"/>
    </xf>
    <xf numFmtId="43" fontId="28" fillId="4" borderId="76" xfId="11" applyFont="1" applyFill="1" applyBorder="1" applyAlignment="1">
      <alignment horizontal="center"/>
    </xf>
    <xf numFmtId="170" fontId="29" fillId="4" borderId="64" xfId="11" applyNumberFormat="1" applyFont="1" applyFill="1" applyBorder="1" applyAlignment="1">
      <alignment horizontal="center" vertical="center"/>
    </xf>
    <xf numFmtId="43" fontId="29" fillId="4" borderId="65" xfId="11" applyFont="1" applyFill="1" applyBorder="1"/>
    <xf numFmtId="43" fontId="29" fillId="4" borderId="65" xfId="11" applyFont="1" applyFill="1" applyBorder="1" applyAlignment="1">
      <alignment horizontal="center" vertical="center"/>
    </xf>
    <xf numFmtId="43" fontId="29" fillId="4" borderId="65" xfId="11" applyFont="1" applyFill="1" applyBorder="1" applyAlignment="1">
      <alignment horizontal="center"/>
    </xf>
    <xf numFmtId="43" fontId="30" fillId="4" borderId="65" xfId="11" applyFont="1" applyFill="1" applyBorder="1"/>
    <xf numFmtId="43" fontId="27" fillId="4" borderId="66" xfId="11" applyFont="1" applyFill="1" applyBorder="1"/>
    <xf numFmtId="170" fontId="29" fillId="4" borderId="52" xfId="11" applyNumberFormat="1" applyFont="1" applyFill="1" applyBorder="1" applyAlignment="1">
      <alignment horizontal="center" vertical="center"/>
    </xf>
    <xf numFmtId="43" fontId="28" fillId="4" borderId="53" xfId="11" applyFont="1" applyFill="1" applyBorder="1"/>
    <xf numFmtId="43" fontId="29" fillId="4" borderId="53" xfId="11" applyFont="1" applyFill="1" applyBorder="1" applyAlignment="1">
      <alignment horizontal="center" vertical="center"/>
    </xf>
    <xf numFmtId="43" fontId="28" fillId="4" borderId="53" xfId="11" applyFont="1" applyFill="1" applyBorder="1" applyAlignment="1">
      <alignment horizontal="center" vertical="center"/>
    </xf>
    <xf numFmtId="43" fontId="28" fillId="4" borderId="53" xfId="11" applyFont="1" applyFill="1" applyBorder="1" applyAlignment="1">
      <alignment horizontal="center"/>
    </xf>
    <xf numFmtId="43" fontId="28" fillId="4" borderId="54" xfId="11" applyFont="1" applyFill="1" applyBorder="1"/>
    <xf numFmtId="43" fontId="30" fillId="4" borderId="61" xfId="11" applyFont="1" applyFill="1" applyBorder="1"/>
    <xf numFmtId="43" fontId="30" fillId="4" borderId="63" xfId="11" applyFont="1" applyFill="1" applyBorder="1"/>
    <xf numFmtId="170" fontId="29" fillId="4" borderId="55" xfId="11" applyNumberFormat="1" applyFont="1" applyFill="1" applyBorder="1" applyAlignment="1">
      <alignment horizontal="center" vertical="center"/>
    </xf>
    <xf numFmtId="43" fontId="28" fillId="4" borderId="0" xfId="11" applyFont="1" applyFill="1" applyBorder="1"/>
    <xf numFmtId="43" fontId="29" fillId="4" borderId="0" xfId="1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center"/>
    </xf>
    <xf numFmtId="43" fontId="28" fillId="4" borderId="56" xfId="11" applyFont="1" applyFill="1" applyBorder="1"/>
    <xf numFmtId="43" fontId="30" fillId="4" borderId="79" xfId="11" applyFont="1" applyFill="1" applyBorder="1"/>
    <xf numFmtId="43" fontId="30" fillId="4" borderId="80" xfId="11" applyFont="1" applyFill="1" applyBorder="1"/>
    <xf numFmtId="166" fontId="24" fillId="0" borderId="56" xfId="7" applyNumberFormat="1" applyFont="1" applyBorder="1"/>
    <xf numFmtId="43" fontId="30" fillId="4" borderId="75" xfId="11" applyFont="1" applyFill="1" applyBorder="1" applyAlignment="1">
      <alignment horizontal="left"/>
    </xf>
    <xf numFmtId="43" fontId="30" fillId="4" borderId="77" xfId="11" applyFont="1" applyFill="1" applyBorder="1" applyAlignment="1">
      <alignment horizontal="right"/>
    </xf>
    <xf numFmtId="0" fontId="19" fillId="0" borderId="0" xfId="7" applyFont="1"/>
    <xf numFmtId="166" fontId="19" fillId="0" borderId="56" xfId="7" applyNumberFormat="1" applyFont="1" applyBorder="1"/>
    <xf numFmtId="0" fontId="15" fillId="0" borderId="57" xfId="7" applyBorder="1"/>
    <xf numFmtId="0" fontId="15" fillId="0" borderId="58" xfId="7" applyBorder="1"/>
    <xf numFmtId="0" fontId="15" fillId="0" borderId="59" xfId="7" applyBorder="1"/>
    <xf numFmtId="170" fontId="28" fillId="4" borderId="57" xfId="11" applyNumberFormat="1" applyFont="1" applyFill="1" applyBorder="1" applyAlignment="1">
      <alignment horizontal="center" vertical="center"/>
    </xf>
    <xf numFmtId="43" fontId="28" fillId="4" borderId="58" xfId="11" applyFont="1" applyFill="1" applyBorder="1"/>
    <xf numFmtId="43" fontId="29" fillId="4" borderId="58" xfId="11" applyFont="1" applyFill="1" applyBorder="1" applyAlignment="1">
      <alignment horizontal="center" vertical="center"/>
    </xf>
    <xf numFmtId="43" fontId="29" fillId="4" borderId="58" xfId="11" applyFont="1" applyFill="1" applyBorder="1" applyAlignment="1">
      <alignment horizontal="center"/>
    </xf>
    <xf numFmtId="43" fontId="29" fillId="4" borderId="59" xfId="11" applyFont="1" applyFill="1" applyBorder="1"/>
    <xf numFmtId="43" fontId="30" fillId="4" borderId="64" xfId="11" applyFont="1" applyFill="1" applyBorder="1" applyAlignment="1">
      <alignment horizontal="left"/>
    </xf>
    <xf numFmtId="43" fontId="30" fillId="4" borderId="66" xfId="11" applyFont="1" applyFill="1" applyBorder="1" applyAlignment="1">
      <alignment horizontal="right"/>
    </xf>
    <xf numFmtId="43" fontId="16" fillId="0" borderId="0" xfId="11" applyFont="1"/>
    <xf numFmtId="170" fontId="28" fillId="4" borderId="0" xfId="11" applyNumberFormat="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right"/>
    </xf>
    <xf numFmtId="43" fontId="33" fillId="4" borderId="0" xfId="11" applyFont="1" applyFill="1" applyBorder="1" applyAlignment="1">
      <alignment horizontal="center"/>
    </xf>
    <xf numFmtId="0" fontId="11" fillId="0" borderId="9" xfId="2" applyFont="1" applyBorder="1" applyAlignment="1">
      <alignment horizontal="left" vertical="center"/>
    </xf>
    <xf numFmtId="168" fontId="2" fillId="0" borderId="15" xfId="4" applyNumberFormat="1" applyFont="1" applyFill="1" applyBorder="1" applyAlignment="1">
      <alignment horizontal="center" vertical="top" wrapText="1"/>
    </xf>
    <xf numFmtId="167" fontId="7" fillId="0" borderId="20" xfId="2" applyNumberFormat="1" applyFont="1" applyBorder="1"/>
    <xf numFmtId="165" fontId="6" fillId="0" borderId="0" xfId="2" applyNumberFormat="1" applyFont="1" applyAlignment="1">
      <alignment horizontal="center" vertical="top" wrapText="1"/>
    </xf>
    <xf numFmtId="167" fontId="6" fillId="0" borderId="0" xfId="4" applyFont="1" applyBorder="1" applyAlignment="1">
      <alignment horizontal="right" vertical="top" wrapText="1"/>
    </xf>
    <xf numFmtId="170" fontId="29" fillId="4" borderId="55" xfId="11" applyNumberFormat="1" applyFont="1" applyFill="1" applyBorder="1" applyAlignment="1">
      <alignment horizontal="left" vertical="center"/>
    </xf>
    <xf numFmtId="170" fontId="29" fillId="4" borderId="0" xfId="11" applyNumberFormat="1" applyFont="1" applyFill="1" applyBorder="1" applyAlignment="1">
      <alignment horizontal="left" vertical="center"/>
    </xf>
    <xf numFmtId="170" fontId="29" fillId="4" borderId="56" xfId="11" applyNumberFormat="1" applyFont="1" applyFill="1" applyBorder="1" applyAlignment="1">
      <alignment horizontal="left" vertical="center"/>
    </xf>
    <xf numFmtId="43" fontId="26" fillId="0" borderId="0" xfId="11" applyFont="1" applyAlignment="1">
      <alignment horizontal="center"/>
    </xf>
    <xf numFmtId="0" fontId="19" fillId="0" borderId="52" xfId="7" applyFont="1" applyBorder="1" applyAlignment="1">
      <alignment horizontal="center"/>
    </xf>
    <xf numFmtId="0" fontId="19" fillId="0" borderId="53" xfId="7" applyFont="1" applyBorder="1" applyAlignment="1">
      <alignment horizontal="center"/>
    </xf>
    <xf numFmtId="0" fontId="19" fillId="0" borderId="54" xfId="7" applyFont="1" applyBorder="1" applyAlignment="1">
      <alignment horizontal="center"/>
    </xf>
    <xf numFmtId="0" fontId="22" fillId="0" borderId="0" xfId="7" applyFont="1" applyAlignment="1">
      <alignment horizontal="left" wrapText="1"/>
    </xf>
    <xf numFmtId="0" fontId="22" fillId="0" borderId="0" xfId="7" applyFont="1" applyAlignment="1">
      <alignment horizontal="left"/>
    </xf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9" xfId="2" applyFont="1" applyBorder="1" applyAlignment="1">
      <alignment horizontal="center"/>
    </xf>
    <xf numFmtId="0" fontId="7" fillId="0" borderId="50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68" fontId="4" fillId="0" borderId="3" xfId="3" applyNumberFormat="1" applyFont="1" applyFill="1" applyBorder="1" applyAlignment="1">
      <alignment horizontal="center" vertical="center"/>
    </xf>
    <xf numFmtId="168" fontId="4" fillId="0" borderId="6" xfId="3" applyNumberFormat="1" applyFont="1" applyFill="1" applyBorder="1" applyAlignment="1">
      <alignment horizontal="center" vertical="center"/>
    </xf>
    <xf numFmtId="0" fontId="10" fillId="0" borderId="30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/>
    </xf>
    <xf numFmtId="0" fontId="7" fillId="0" borderId="42" xfId="2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168" fontId="4" fillId="0" borderId="9" xfId="3" applyNumberFormat="1" applyFont="1" applyFill="1" applyBorder="1" applyAlignment="1">
      <alignment horizontal="center" vertical="center"/>
    </xf>
    <xf numFmtId="168" fontId="4" fillId="0" borderId="35" xfId="3" applyNumberFormat="1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6" fontId="4" fillId="0" borderId="0" xfId="3" applyNumberFormat="1" applyFont="1" applyBorder="1" applyAlignment="1">
      <alignment horizontal="center" vertical="center" wrapText="1"/>
    </xf>
    <xf numFmtId="169" fontId="10" fillId="0" borderId="23" xfId="2" applyNumberFormat="1" applyFont="1" applyBorder="1" applyAlignment="1">
      <alignment horizontal="left" vertical="center" wrapText="1"/>
    </xf>
    <xf numFmtId="169" fontId="10" fillId="0" borderId="24" xfId="2" applyNumberFormat="1" applyFont="1" applyBorder="1" applyAlignment="1">
      <alignment horizontal="left" vertical="center" wrapText="1"/>
    </xf>
    <xf numFmtId="169" fontId="10" fillId="0" borderId="27" xfId="2" applyNumberFormat="1" applyFont="1" applyBorder="1" applyAlignment="1">
      <alignment horizontal="left" vertical="center" wrapText="1"/>
    </xf>
    <xf numFmtId="169" fontId="10" fillId="0" borderId="0" xfId="2" applyNumberFormat="1" applyFont="1" applyAlignment="1">
      <alignment horizontal="left" vertical="center" wrapText="1"/>
    </xf>
    <xf numFmtId="169" fontId="10" fillId="0" borderId="30" xfId="2" applyNumberFormat="1" applyFont="1" applyBorder="1" applyAlignment="1">
      <alignment horizontal="left" vertical="center" wrapText="1"/>
    </xf>
    <xf numFmtId="169" fontId="10" fillId="0" borderId="1" xfId="2" applyNumberFormat="1" applyFont="1" applyBorder="1" applyAlignment="1">
      <alignment horizontal="left" vertical="center" wrapText="1"/>
    </xf>
    <xf numFmtId="0" fontId="7" fillId="0" borderId="25" xfId="2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" fillId="0" borderId="0" xfId="1" applyAlignment="1">
      <alignment horizontal="center"/>
    </xf>
  </cellXfs>
  <cellStyles count="15">
    <cellStyle name="Comma [0] 2" xfId="5"/>
    <cellStyle name="Comma [0] 2 2" xfId="6"/>
    <cellStyle name="Comma [0] 4" xfId="12"/>
    <cellStyle name="Comma 2" xfId="4"/>
    <cellStyle name="Comma 3" xfId="8"/>
    <cellStyle name="Comma 5" xfId="11"/>
    <cellStyle name="Comma 7" xfId="14"/>
    <cellStyle name="Comma[0]_Sheet1" xfId="3"/>
    <cellStyle name="Normal" xfId="0" builtinId="0"/>
    <cellStyle name="Normal 2" xfId="1"/>
    <cellStyle name="Normal 3" xfId="7"/>
    <cellStyle name="Normal 4" xfId="9"/>
    <cellStyle name="Normal 5" xfId="10"/>
    <cellStyle name="Normal 7" xfId="1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1183873</xdr:colOff>
      <xdr:row>33</xdr:row>
      <xdr:rowOff>118490</xdr:rowOff>
    </xdr:from>
    <xdr:to>
      <xdr:col>16</xdr:col>
      <xdr:colOff>1183873</xdr:colOff>
      <xdr:row>36</xdr:row>
      <xdr:rowOff>157270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D1D0D6F-B923-4411-9029-198DEF814AF4}"/>
            </a:ext>
          </a:extLst>
        </xdr:cNvPr>
        <xdr:cNvCxnSpPr/>
      </xdr:nvCxnSpPr>
      <xdr:spPr>
        <a:xfrm>
          <a:off x="19128973" y="7128890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100060</xdr:colOff>
      <xdr:row>33</xdr:row>
      <xdr:rowOff>121205</xdr:rowOff>
    </xdr:from>
    <xdr:to>
      <xdr:col>16</xdr:col>
      <xdr:colOff>100060</xdr:colOff>
      <xdr:row>36</xdr:row>
      <xdr:rowOff>159985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3FF90E75-5B1B-4F60-B876-FDFDD64C4BEB}"/>
            </a:ext>
          </a:extLst>
        </xdr:cNvPr>
        <xdr:cNvCxnSpPr/>
      </xdr:nvCxnSpPr>
      <xdr:spPr>
        <a:xfrm>
          <a:off x="18045160" y="7131605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449763</xdr:colOff>
      <xdr:row>29</xdr:row>
      <xdr:rowOff>162031</xdr:rowOff>
    </xdr:from>
    <xdr:to>
      <xdr:col>15</xdr:col>
      <xdr:colOff>1049154</xdr:colOff>
      <xdr:row>33</xdr:row>
      <xdr:rowOff>144338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149FA839-4AC8-41A5-80AE-BA5D1D02F2B7}"/>
            </a:ext>
          </a:extLst>
        </xdr:cNvPr>
        <xdr:cNvCxnSpPr/>
      </xdr:nvCxnSpPr>
      <xdr:spPr>
        <a:xfrm>
          <a:off x="15910743" y="6318991"/>
          <a:ext cx="1970991" cy="83574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466090</xdr:colOff>
      <xdr:row>32</xdr:row>
      <xdr:rowOff>169513</xdr:rowOff>
    </xdr:from>
    <xdr:to>
      <xdr:col>15</xdr:col>
      <xdr:colOff>1065481</xdr:colOff>
      <xdr:row>36</xdr:row>
      <xdr:rowOff>151821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19D59EFD-3D41-48BA-AB7B-63F0CD5E250A}"/>
            </a:ext>
          </a:extLst>
        </xdr:cNvPr>
        <xdr:cNvCxnSpPr/>
      </xdr:nvCxnSpPr>
      <xdr:spPr>
        <a:xfrm>
          <a:off x="15927070" y="6966553"/>
          <a:ext cx="1970991" cy="83574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475610</xdr:colOff>
      <xdr:row>29</xdr:row>
      <xdr:rowOff>147059</xdr:rowOff>
    </xdr:from>
    <xdr:to>
      <xdr:col>13</xdr:col>
      <xdr:colOff>475610</xdr:colOff>
      <xdr:row>32</xdr:row>
      <xdr:rowOff>185838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16AF1A97-E67A-4A75-99D6-57B29247392C}"/>
            </a:ext>
          </a:extLst>
        </xdr:cNvPr>
        <xdr:cNvCxnSpPr/>
      </xdr:nvCxnSpPr>
      <xdr:spPr>
        <a:xfrm>
          <a:off x="15936590" y="6304019"/>
          <a:ext cx="0" cy="678859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1044384</xdr:colOff>
      <xdr:row>33</xdr:row>
      <xdr:rowOff>132766</xdr:rowOff>
    </xdr:from>
    <xdr:to>
      <xdr:col>15</xdr:col>
      <xdr:colOff>1044384</xdr:colOff>
      <xdr:row>36</xdr:row>
      <xdr:rowOff>171546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F518CB3-6BD8-421B-A013-4356EFAEFA37}"/>
            </a:ext>
          </a:extLst>
        </xdr:cNvPr>
        <xdr:cNvCxnSpPr/>
      </xdr:nvCxnSpPr>
      <xdr:spPr>
        <a:xfrm>
          <a:off x="17876964" y="7143166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80596</xdr:colOff>
      <xdr:row>37</xdr:row>
      <xdr:rowOff>187568</xdr:rowOff>
    </xdr:from>
    <xdr:to>
      <xdr:col>16</xdr:col>
      <xdr:colOff>1202714</xdr:colOff>
      <xdr:row>38</xdr:row>
      <xdr:rowOff>6226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D60C6B39-1D1B-4FAC-A51D-EF414F3AFFF5}"/>
            </a:ext>
          </a:extLst>
        </xdr:cNvPr>
        <xdr:cNvCxnSpPr/>
      </xdr:nvCxnSpPr>
      <xdr:spPr>
        <a:xfrm>
          <a:off x="18025696" y="8051408"/>
          <a:ext cx="1114498" cy="3201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237026</xdr:colOff>
      <xdr:row>31</xdr:row>
      <xdr:rowOff>125292</xdr:rowOff>
    </xdr:from>
    <xdr:to>
      <xdr:col>17</xdr:col>
      <xdr:colOff>237026</xdr:colOff>
      <xdr:row>34</xdr:row>
      <xdr:rowOff>174015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42AAD4F8-575D-4C37-A854-19544EAC2017}"/>
            </a:ext>
          </a:extLst>
        </xdr:cNvPr>
        <xdr:cNvCxnSpPr/>
      </xdr:nvCxnSpPr>
      <xdr:spPr>
        <a:xfrm>
          <a:off x="19378466" y="6708972"/>
          <a:ext cx="0" cy="6888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377702</xdr:colOff>
      <xdr:row>32</xdr:row>
      <xdr:rowOff>146539</xdr:rowOff>
    </xdr:from>
    <xdr:to>
      <xdr:col>18</xdr:col>
      <xdr:colOff>254977</xdr:colOff>
      <xdr:row>33</xdr:row>
      <xdr:rowOff>166322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A35F4673-ABA6-42FB-A5DE-30AF677C9394}"/>
            </a:ext>
          </a:extLst>
        </xdr:cNvPr>
        <xdr:cNvSpPr txBox="1"/>
      </xdr:nvSpPr>
      <xdr:spPr>
        <a:xfrm>
          <a:off x="19519142" y="6943579"/>
          <a:ext cx="486875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100 mm</a:t>
          </a:r>
        </a:p>
      </xdr:txBody>
    </xdr:sp>
    <xdr:clientData/>
  </xdr:twoCellAnchor>
  <xdr:twoCellAnchor>
    <xdr:from>
      <xdr:col>16</xdr:col>
      <xdr:colOff>375870</xdr:colOff>
      <xdr:row>38</xdr:row>
      <xdr:rowOff>102577</xdr:rowOff>
    </xdr:from>
    <xdr:to>
      <xdr:col>16</xdr:col>
      <xdr:colOff>900845</xdr:colOff>
      <xdr:row>39</xdr:row>
      <xdr:rowOff>122361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1A9E0066-DF47-489A-A1BD-A4ACF29D3B8E}"/>
            </a:ext>
          </a:extLst>
        </xdr:cNvPr>
        <xdr:cNvSpPr txBox="1"/>
      </xdr:nvSpPr>
      <xdr:spPr>
        <a:xfrm>
          <a:off x="18320970" y="8179777"/>
          <a:ext cx="524975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200 mm</a:t>
          </a:r>
        </a:p>
      </xdr:txBody>
    </xdr:sp>
    <xdr:clientData/>
  </xdr:twoCellAnchor>
  <xdr:twoCellAnchor>
    <xdr:from>
      <xdr:col>13</xdr:col>
      <xdr:colOff>418367</xdr:colOff>
      <xdr:row>33</xdr:row>
      <xdr:rowOff>194897</xdr:rowOff>
    </xdr:from>
    <xdr:to>
      <xdr:col>15</xdr:col>
      <xdr:colOff>1058375</xdr:colOff>
      <xdr:row>37</xdr:row>
      <xdr:rowOff>198561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6270A4EB-9474-48F0-BA2C-F74487CF5BAF}"/>
            </a:ext>
          </a:extLst>
        </xdr:cNvPr>
        <xdr:cNvCxnSpPr/>
      </xdr:nvCxnSpPr>
      <xdr:spPr>
        <a:xfrm flipH="1" flipV="1">
          <a:off x="15879347" y="7205297"/>
          <a:ext cx="2011608" cy="85710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326777</xdr:colOff>
      <xdr:row>35</xdr:row>
      <xdr:rowOff>212120</xdr:rowOff>
    </xdr:from>
    <xdr:to>
      <xdr:col>15</xdr:col>
      <xdr:colOff>215777</xdr:colOff>
      <xdr:row>37</xdr:row>
      <xdr:rowOff>17590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91756FC0-16D5-4839-B657-1CCBC0C4D337}"/>
            </a:ext>
          </a:extLst>
        </xdr:cNvPr>
        <xdr:cNvSpPr txBox="1"/>
      </xdr:nvSpPr>
      <xdr:spPr>
        <a:xfrm rot="1365256">
          <a:off x="16443077" y="7649240"/>
          <a:ext cx="605280" cy="23219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1.200 mm</a:t>
          </a:r>
        </a:p>
      </xdr:txBody>
    </xdr:sp>
    <xdr:clientData/>
  </xdr:twoCellAnchor>
  <xdr:twoCellAnchor>
    <xdr:from>
      <xdr:col>16</xdr:col>
      <xdr:colOff>843695</xdr:colOff>
      <xdr:row>30</xdr:row>
      <xdr:rowOff>120529</xdr:rowOff>
    </xdr:from>
    <xdr:to>
      <xdr:col>16</xdr:col>
      <xdr:colOff>1184397</xdr:colOff>
      <xdr:row>33</xdr:row>
      <xdr:rowOff>125292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68A956F5-83EB-4653-AED0-E9C4C95F036B}"/>
            </a:ext>
          </a:extLst>
        </xdr:cNvPr>
        <xdr:cNvCxnSpPr/>
      </xdr:nvCxnSpPr>
      <xdr:spPr>
        <a:xfrm flipH="1" flipV="1">
          <a:off x="18788795" y="6490849"/>
          <a:ext cx="340702" cy="644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1095009</xdr:colOff>
      <xdr:row>29</xdr:row>
      <xdr:rowOff>90856</xdr:rowOff>
    </xdr:from>
    <xdr:to>
      <xdr:col>16</xdr:col>
      <xdr:colOff>576262</xdr:colOff>
      <xdr:row>35</xdr:row>
      <xdr:rowOff>52755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FF3A7556-28E9-493C-98F7-405323009FE8}"/>
            </a:ext>
          </a:extLst>
        </xdr:cNvPr>
        <xdr:cNvCxnSpPr/>
      </xdr:nvCxnSpPr>
      <xdr:spPr>
        <a:xfrm flipH="1" flipV="1">
          <a:off x="17927589" y="6247816"/>
          <a:ext cx="593773" cy="12420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500428</xdr:colOff>
      <xdr:row>28</xdr:row>
      <xdr:rowOff>212481</xdr:rowOff>
    </xdr:from>
    <xdr:to>
      <xdr:col>16</xdr:col>
      <xdr:colOff>1025403</xdr:colOff>
      <xdr:row>30</xdr:row>
      <xdr:rowOff>17952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3BA38A6F-95A6-42D2-ABA0-6EF311BA3001}"/>
            </a:ext>
          </a:extLst>
        </xdr:cNvPr>
        <xdr:cNvSpPr txBox="1"/>
      </xdr:nvSpPr>
      <xdr:spPr>
        <a:xfrm>
          <a:off x="18445528" y="6156081"/>
          <a:ext cx="524975" cy="2321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8 mm</a:t>
          </a:r>
        </a:p>
      </xdr:txBody>
    </xdr:sp>
    <xdr:clientData/>
  </xdr:twoCellAnchor>
  <xdr:twoCellAnchor>
    <xdr:from>
      <xdr:col>15</xdr:col>
      <xdr:colOff>706315</xdr:colOff>
      <xdr:row>28</xdr:row>
      <xdr:rowOff>0</xdr:rowOff>
    </xdr:from>
    <xdr:to>
      <xdr:col>16</xdr:col>
      <xdr:colOff>74002</xdr:colOff>
      <xdr:row>29</xdr:row>
      <xdr:rowOff>19784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6983F514-7FCD-4CB5-8910-03C6E435C17E}"/>
            </a:ext>
          </a:extLst>
        </xdr:cNvPr>
        <xdr:cNvSpPr txBox="1"/>
      </xdr:nvSpPr>
      <xdr:spPr>
        <a:xfrm>
          <a:off x="17538895" y="5943600"/>
          <a:ext cx="480207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5,5 mm</a:t>
          </a:r>
        </a:p>
      </xdr:txBody>
    </xdr:sp>
    <xdr:clientData/>
  </xdr:twoCellAnchor>
  <xdr:twoCellAnchor>
    <xdr:from>
      <xdr:col>11</xdr:col>
      <xdr:colOff>326623</xdr:colOff>
      <xdr:row>39</xdr:row>
      <xdr:rowOff>189926</xdr:rowOff>
    </xdr:from>
    <xdr:to>
      <xdr:col>11</xdr:col>
      <xdr:colOff>2289453</xdr:colOff>
      <xdr:row>40</xdr:row>
      <xdr:rowOff>37526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67283474-3191-4452-9AC7-F96538C5F04B}"/>
            </a:ext>
          </a:extLst>
        </xdr:cNvPr>
        <xdr:cNvSpPr/>
      </xdr:nvSpPr>
      <xdr:spPr>
        <a:xfrm>
          <a:off x="12267163" y="8480486"/>
          <a:ext cx="1962830" cy="609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230934</xdr:colOff>
      <xdr:row>36</xdr:row>
      <xdr:rowOff>123989</xdr:rowOff>
    </xdr:from>
    <xdr:to>
      <xdr:col>11</xdr:col>
      <xdr:colOff>276653</xdr:colOff>
      <xdr:row>40</xdr:row>
      <xdr:rowOff>60997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C9DEE58A-D931-4940-8768-82C4C5E20CCD}"/>
            </a:ext>
          </a:extLst>
        </xdr:cNvPr>
        <xdr:cNvSpPr/>
      </xdr:nvSpPr>
      <xdr:spPr>
        <a:xfrm rot="4746454">
          <a:off x="11799110" y="8146833"/>
          <a:ext cx="790448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2108254</xdr:colOff>
      <xdr:row>36</xdr:row>
      <xdr:rowOff>105443</xdr:rowOff>
    </xdr:from>
    <xdr:to>
      <xdr:col>11</xdr:col>
      <xdr:colOff>2163150</xdr:colOff>
      <xdr:row>40</xdr:row>
      <xdr:rowOff>51639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1825D39F-47B5-40A0-B327-AD0DBF356706}"/>
            </a:ext>
          </a:extLst>
        </xdr:cNvPr>
        <xdr:cNvSpPr/>
      </xdr:nvSpPr>
      <xdr:spPr>
        <a:xfrm rot="4301833">
          <a:off x="13676424" y="8128293"/>
          <a:ext cx="799636" cy="5489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1096788</xdr:colOff>
      <xdr:row>28</xdr:row>
      <xdr:rowOff>81064</xdr:rowOff>
    </xdr:from>
    <xdr:to>
      <xdr:col>11</xdr:col>
      <xdr:colOff>1153938</xdr:colOff>
      <xdr:row>36</xdr:row>
      <xdr:rowOff>177676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5EC01F16-AC21-4AE1-A975-05991D284088}"/>
            </a:ext>
          </a:extLst>
        </xdr:cNvPr>
        <xdr:cNvSpPr/>
      </xdr:nvSpPr>
      <xdr:spPr>
        <a:xfrm>
          <a:off x="13037328" y="6024664"/>
          <a:ext cx="57150" cy="180349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1306339</xdr:colOff>
      <xdr:row>31</xdr:row>
      <xdr:rowOff>137529</xdr:rowOff>
    </xdr:from>
    <xdr:to>
      <xdr:col>11</xdr:col>
      <xdr:colOff>1363489</xdr:colOff>
      <xdr:row>40</xdr:row>
      <xdr:rowOff>19827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73F58916-0A44-47FB-82A9-887F8DD4F11D}"/>
            </a:ext>
          </a:extLst>
        </xdr:cNvPr>
        <xdr:cNvSpPr/>
      </xdr:nvSpPr>
      <xdr:spPr>
        <a:xfrm>
          <a:off x="13246879" y="6721209"/>
          <a:ext cx="57150" cy="18025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1208159</xdr:colOff>
      <xdr:row>28</xdr:row>
      <xdr:rowOff>48853</xdr:rowOff>
    </xdr:from>
    <xdr:to>
      <xdr:col>11</xdr:col>
      <xdr:colOff>1253878</xdr:colOff>
      <xdr:row>31</xdr:row>
      <xdr:rowOff>197305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15882FD-15B9-4FA5-B2EB-1AF2494AD1D1}"/>
            </a:ext>
          </a:extLst>
        </xdr:cNvPr>
        <xdr:cNvSpPr/>
      </xdr:nvSpPr>
      <xdr:spPr>
        <a:xfrm rot="4365413">
          <a:off x="12777293" y="6363859"/>
          <a:ext cx="788532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253781</xdr:colOff>
      <xdr:row>38</xdr:row>
      <xdr:rowOff>112351</xdr:rowOff>
    </xdr:from>
    <xdr:to>
      <xdr:col>11</xdr:col>
      <xdr:colOff>1405663</xdr:colOff>
      <xdr:row>38</xdr:row>
      <xdr:rowOff>158070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349326D7-6488-4517-BCA3-C7152E62CE62}"/>
            </a:ext>
          </a:extLst>
        </xdr:cNvPr>
        <xdr:cNvSpPr/>
      </xdr:nvSpPr>
      <xdr:spPr>
        <a:xfrm rot="8923977">
          <a:off x="12194321" y="8189551"/>
          <a:ext cx="1151882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111991</xdr:colOff>
      <xdr:row>35</xdr:row>
      <xdr:rowOff>68001</xdr:rowOff>
    </xdr:from>
    <xdr:to>
      <xdr:col>11</xdr:col>
      <xdr:colOff>1171536</xdr:colOff>
      <xdr:row>35</xdr:row>
      <xdr:rowOff>113720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B678A807-F6A7-4602-B20F-4B6CA11DC2D9}"/>
            </a:ext>
          </a:extLst>
        </xdr:cNvPr>
        <xdr:cNvSpPr/>
      </xdr:nvSpPr>
      <xdr:spPr>
        <a:xfrm rot="9101082">
          <a:off x="12052531" y="7505121"/>
          <a:ext cx="1059545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1002508</xdr:colOff>
      <xdr:row>35</xdr:row>
      <xdr:rowOff>73830</xdr:rowOff>
    </xdr:from>
    <xdr:to>
      <xdr:col>11</xdr:col>
      <xdr:colOff>2117808</xdr:colOff>
      <xdr:row>35</xdr:row>
      <xdr:rowOff>122582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276E1CE1-5BEC-4AA9-B3F4-2EBE156AD834}"/>
            </a:ext>
          </a:extLst>
        </xdr:cNvPr>
        <xdr:cNvSpPr/>
      </xdr:nvSpPr>
      <xdr:spPr>
        <a:xfrm rot="12550426" flipV="1">
          <a:off x="12943048" y="7510950"/>
          <a:ext cx="1115300" cy="4875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1228387</xdr:colOff>
      <xdr:row>38</xdr:row>
      <xdr:rowOff>112607</xdr:rowOff>
    </xdr:from>
    <xdr:to>
      <xdr:col>11</xdr:col>
      <xdr:colOff>2344367</xdr:colOff>
      <xdr:row>38</xdr:row>
      <xdr:rowOff>161359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C64E5835-B636-465A-891E-22334D2C8635}"/>
            </a:ext>
          </a:extLst>
        </xdr:cNvPr>
        <xdr:cNvSpPr/>
      </xdr:nvSpPr>
      <xdr:spPr>
        <a:xfrm rot="12782174" flipV="1">
          <a:off x="13168927" y="8189807"/>
          <a:ext cx="1115980" cy="4875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10</xdr:col>
      <xdr:colOff>610333</xdr:colOff>
      <xdr:row>36</xdr:row>
      <xdr:rowOff>139579</xdr:rowOff>
    </xdr:from>
    <xdr:to>
      <xdr:col>11</xdr:col>
      <xdr:colOff>76933</xdr:colOff>
      <xdr:row>40</xdr:row>
      <xdr:rowOff>82429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xmlns="" id="{CD502E53-87E1-4CE4-9F62-9CA201310784}"/>
            </a:ext>
          </a:extLst>
        </xdr:cNvPr>
        <xdr:cNvCxnSpPr/>
      </xdr:nvCxnSpPr>
      <xdr:spPr>
        <a:xfrm>
          <a:off x="11880313" y="7790059"/>
          <a:ext cx="137160" cy="7962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310296</xdr:colOff>
      <xdr:row>41</xdr:row>
      <xdr:rowOff>58617</xdr:rowOff>
    </xdr:from>
    <xdr:to>
      <xdr:col>11</xdr:col>
      <xdr:colOff>2267683</xdr:colOff>
      <xdr:row>41</xdr:row>
      <xdr:rowOff>68142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xmlns="" id="{5A3C47D1-B2D8-4D72-A467-86C76D184340}"/>
            </a:ext>
          </a:extLst>
        </xdr:cNvPr>
        <xdr:cNvCxnSpPr/>
      </xdr:nvCxnSpPr>
      <xdr:spPr>
        <a:xfrm flipV="1">
          <a:off x="12250836" y="8775897"/>
          <a:ext cx="1957387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1558071</xdr:colOff>
      <xdr:row>31</xdr:row>
      <xdr:rowOff>191967</xdr:rowOff>
    </xdr:from>
    <xdr:to>
      <xdr:col>11</xdr:col>
      <xdr:colOff>1558071</xdr:colOff>
      <xdr:row>40</xdr:row>
      <xdr:rowOff>6229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7F3E8854-E065-4C07-8FF6-7103182981D5}"/>
            </a:ext>
          </a:extLst>
        </xdr:cNvPr>
        <xdr:cNvCxnSpPr/>
      </xdr:nvCxnSpPr>
      <xdr:spPr>
        <a:xfrm>
          <a:off x="13498611" y="6775647"/>
          <a:ext cx="0" cy="17345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1224696</xdr:colOff>
      <xdr:row>28</xdr:row>
      <xdr:rowOff>1466</xdr:rowOff>
    </xdr:from>
    <xdr:to>
      <xdr:col>11</xdr:col>
      <xdr:colOff>1553308</xdr:colOff>
      <xdr:row>31</xdr:row>
      <xdr:rowOff>182442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xmlns="" id="{D6DE39D0-0077-4463-ABA5-324105652CED}"/>
            </a:ext>
          </a:extLst>
        </xdr:cNvPr>
        <xdr:cNvCxnSpPr/>
      </xdr:nvCxnSpPr>
      <xdr:spPr>
        <a:xfrm flipH="1" flipV="1">
          <a:off x="13165236" y="5945066"/>
          <a:ext cx="328612" cy="82105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38833</xdr:colOff>
      <xdr:row>33</xdr:row>
      <xdr:rowOff>63379</xdr:rowOff>
    </xdr:from>
    <xdr:to>
      <xdr:col>11</xdr:col>
      <xdr:colOff>1043721</xdr:colOff>
      <xdr:row>35</xdr:row>
      <xdr:rowOff>182442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1A310819-ABCF-4A8A-9A2B-8546BD609D9A}"/>
            </a:ext>
          </a:extLst>
        </xdr:cNvPr>
        <xdr:cNvCxnSpPr/>
      </xdr:nvCxnSpPr>
      <xdr:spPr>
        <a:xfrm flipV="1">
          <a:off x="11979373" y="7073779"/>
          <a:ext cx="1004888" cy="54578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1057275</xdr:colOff>
      <xdr:row>41</xdr:row>
      <xdr:rowOff>160827</xdr:rowOff>
    </xdr:from>
    <xdr:to>
      <xdr:col>11</xdr:col>
      <xdr:colOff>1605696</xdr:colOff>
      <xdr:row>42</xdr:row>
      <xdr:rowOff>180610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28A1A30E-388E-4729-8EC9-594A4D72DFB6}"/>
            </a:ext>
          </a:extLst>
        </xdr:cNvPr>
        <xdr:cNvSpPr txBox="1"/>
      </xdr:nvSpPr>
      <xdr:spPr>
        <a:xfrm>
          <a:off x="12997815" y="8878107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10</xdr:col>
      <xdr:colOff>0</xdr:colOff>
      <xdr:row>38</xdr:row>
      <xdr:rowOff>46527</xdr:rowOff>
    </xdr:from>
    <xdr:to>
      <xdr:col>10</xdr:col>
      <xdr:colOff>548421</xdr:colOff>
      <xdr:row>39</xdr:row>
      <xdr:rowOff>66311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F6FBFF47-859B-481B-B53F-9AC066450E81}"/>
            </a:ext>
          </a:extLst>
        </xdr:cNvPr>
        <xdr:cNvSpPr txBox="1"/>
      </xdr:nvSpPr>
      <xdr:spPr>
        <a:xfrm>
          <a:off x="11269980" y="8123727"/>
          <a:ext cx="548421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11</xdr:col>
      <xdr:colOff>90488</xdr:colOff>
      <xdr:row>33</xdr:row>
      <xdr:rowOff>27477</xdr:rowOff>
    </xdr:from>
    <xdr:to>
      <xdr:col>11</xdr:col>
      <xdr:colOff>638909</xdr:colOff>
      <xdr:row>34</xdr:row>
      <xdr:rowOff>47260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5B78C556-665C-4417-A585-75D3BDCD4BFC}"/>
            </a:ext>
          </a:extLst>
        </xdr:cNvPr>
        <xdr:cNvSpPr txBox="1"/>
      </xdr:nvSpPr>
      <xdr:spPr>
        <a:xfrm>
          <a:off x="12031028" y="7037877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0,7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11</xdr:col>
      <xdr:colOff>1471613</xdr:colOff>
      <xdr:row>29</xdr:row>
      <xdr:rowOff>13190</xdr:rowOff>
    </xdr:from>
    <xdr:to>
      <xdr:col>11</xdr:col>
      <xdr:colOff>2020034</xdr:colOff>
      <xdr:row>30</xdr:row>
      <xdr:rowOff>32973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229B23CA-D042-4EAC-BABB-0C0361316684}"/>
            </a:ext>
          </a:extLst>
        </xdr:cNvPr>
        <xdr:cNvSpPr txBox="1"/>
      </xdr:nvSpPr>
      <xdr:spPr>
        <a:xfrm>
          <a:off x="13412153" y="6170150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16</xdr:col>
      <xdr:colOff>123872</xdr:colOff>
      <xdr:row>35</xdr:row>
      <xdr:rowOff>74260</xdr:rowOff>
    </xdr:from>
    <xdr:to>
      <xdr:col>16</xdr:col>
      <xdr:colOff>1157287</xdr:colOff>
      <xdr:row>35</xdr:row>
      <xdr:rowOff>80962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EF1F0AFA-C104-4CFD-A92A-3A5BFC9924EC}"/>
            </a:ext>
          </a:extLst>
        </xdr:cNvPr>
        <xdr:cNvCxnSpPr/>
      </xdr:nvCxnSpPr>
      <xdr:spPr>
        <a:xfrm flipH="1" flipV="1">
          <a:off x="18068972" y="7511380"/>
          <a:ext cx="1033415" cy="6702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476251</xdr:colOff>
      <xdr:row>30</xdr:row>
      <xdr:rowOff>28575</xdr:rowOff>
    </xdr:from>
    <xdr:to>
      <xdr:col>14</xdr:col>
      <xdr:colOff>452438</xdr:colOff>
      <xdr:row>33</xdr:row>
      <xdr:rowOff>171450</xdr:rowOff>
    </xdr:to>
    <xdr:sp macro="" textlink="">
      <xdr:nvSpPr>
        <xdr:cNvPr id="38" name="Parallelogram 37">
          <a:extLst>
            <a:ext uri="{FF2B5EF4-FFF2-40B4-BE49-F238E27FC236}">
              <a16:creationId xmlns:a16="http://schemas.microsoft.com/office/drawing/2014/main" xmlns="" id="{5C5F415A-0252-ADE5-9178-ECED2F076BDE}"/>
            </a:ext>
          </a:extLst>
        </xdr:cNvPr>
        <xdr:cNvSpPr/>
      </xdr:nvSpPr>
      <xdr:spPr>
        <a:xfrm rot="16614218">
          <a:off x="15861507" y="6474619"/>
          <a:ext cx="782955" cy="631507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14</xdr:col>
      <xdr:colOff>433388</xdr:colOff>
      <xdr:row>31</xdr:row>
      <xdr:rowOff>71438</xdr:rowOff>
    </xdr:from>
    <xdr:to>
      <xdr:col>15</xdr:col>
      <xdr:colOff>342901</xdr:colOff>
      <xdr:row>35</xdr:row>
      <xdr:rowOff>0</xdr:rowOff>
    </xdr:to>
    <xdr:sp macro="" textlink="">
      <xdr:nvSpPr>
        <xdr:cNvPr id="39" name="Parallelogram 38">
          <a:extLst>
            <a:ext uri="{FF2B5EF4-FFF2-40B4-BE49-F238E27FC236}">
              <a16:creationId xmlns:a16="http://schemas.microsoft.com/office/drawing/2014/main" xmlns="" id="{C45E28BA-B83F-4559-92DC-03A6841069E1}"/>
            </a:ext>
          </a:extLst>
        </xdr:cNvPr>
        <xdr:cNvSpPr/>
      </xdr:nvSpPr>
      <xdr:spPr>
        <a:xfrm rot="16614218">
          <a:off x="16471584" y="6733222"/>
          <a:ext cx="782002" cy="625793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15</xdr:col>
      <xdr:colOff>309285</xdr:colOff>
      <xdr:row>32</xdr:row>
      <xdr:rowOff>128443</xdr:rowOff>
    </xdr:from>
    <xdr:to>
      <xdr:col>15</xdr:col>
      <xdr:colOff>1043348</xdr:colOff>
      <xdr:row>36</xdr:row>
      <xdr:rowOff>57005</xdr:rowOff>
    </xdr:to>
    <xdr:sp macro="" textlink="">
      <xdr:nvSpPr>
        <xdr:cNvPr id="40" name="Parallelogram 39">
          <a:extLst>
            <a:ext uri="{FF2B5EF4-FFF2-40B4-BE49-F238E27FC236}">
              <a16:creationId xmlns:a16="http://schemas.microsoft.com/office/drawing/2014/main" xmlns="" id="{FEF4C3F4-EA4F-4ED6-B758-4B07D4C6F31F}"/>
            </a:ext>
          </a:extLst>
        </xdr:cNvPr>
        <xdr:cNvSpPr/>
      </xdr:nvSpPr>
      <xdr:spPr>
        <a:xfrm rot="16614218">
          <a:off x="17117896" y="6949452"/>
          <a:ext cx="782002" cy="734063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152400</xdr:colOff>
      <xdr:row>36</xdr:row>
      <xdr:rowOff>128000</xdr:rowOff>
    </xdr:from>
    <xdr:to>
      <xdr:col>11</xdr:col>
      <xdr:colOff>2027524</xdr:colOff>
      <xdr:row>36</xdr:row>
      <xdr:rowOff>185738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5ECE00C7-220F-4210-97F1-7D18E8FDDC64}"/>
            </a:ext>
          </a:extLst>
        </xdr:cNvPr>
        <xdr:cNvSpPr/>
      </xdr:nvSpPr>
      <xdr:spPr>
        <a:xfrm>
          <a:off x="12092940" y="7778480"/>
          <a:ext cx="1875124" cy="577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40</xdr:row>
      <xdr:rowOff>9525</xdr:rowOff>
    </xdr:from>
    <xdr:to>
      <xdr:col>8</xdr:col>
      <xdr:colOff>0</xdr:colOff>
      <xdr:row>48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591425" y="7953375"/>
          <a:ext cx="2409825" cy="16668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Medan,     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Maret 2025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Dihitung Oleh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Julfan Fadhli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O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perasional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P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ompa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2514600</xdr:colOff>
      <xdr:row>40</xdr:row>
      <xdr:rowOff>9526</xdr:rowOff>
    </xdr:from>
    <xdr:to>
      <xdr:col>5</xdr:col>
      <xdr:colOff>0</xdr:colOff>
      <xdr:row>48</xdr:row>
      <xdr:rowOff>130970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14725" y="7953376"/>
          <a:ext cx="2990850" cy="1654969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Diketahui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Dedi Gusman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Kadiv. Transmisi Distribusi</a:t>
          </a:r>
        </a:p>
      </xdr:txBody>
    </xdr:sp>
    <xdr:clientData/>
  </xdr:twoCellAnchor>
  <xdr:twoCellAnchor>
    <xdr:from>
      <xdr:col>0</xdr:col>
      <xdr:colOff>581025</xdr:colOff>
      <xdr:row>40</xdr:row>
      <xdr:rowOff>9525</xdr:rowOff>
    </xdr:from>
    <xdr:to>
      <xdr:col>2</xdr:col>
      <xdr:colOff>2171700</xdr:colOff>
      <xdr:row>48</xdr:row>
      <xdr:rowOff>83344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7953375"/>
          <a:ext cx="2590800" cy="1607344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Disahkan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d-ID" sz="1100" b="1" i="0" u="sng" strike="noStrike">
              <a:solidFill>
                <a:srgbClr val="000000"/>
              </a:solidFill>
              <a:latin typeface="Arial"/>
              <a:cs typeface="Arial"/>
            </a:rPr>
            <a:t>Ali Ismail Siregar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Kadiv. Perencanaan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 Air Minum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2857500</xdr:colOff>
      <xdr:row>101</xdr:row>
      <xdr:rowOff>85725</xdr:rowOff>
    </xdr:from>
    <xdr:to>
      <xdr:col>5</xdr:col>
      <xdr:colOff>447675</xdr:colOff>
      <xdr:row>110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857625" y="21297900"/>
          <a:ext cx="3095625" cy="1676400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Medan,     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Mei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Dibuat Oleh,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CV. Cipta Mandiri Engineering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Nufendi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Direktur</a:t>
          </a:r>
        </a:p>
      </xdr:txBody>
    </xdr:sp>
    <xdr:clientData/>
  </xdr:twoCellAnchor>
  <xdr:twoCellAnchor>
    <xdr:from>
      <xdr:col>2</xdr:col>
      <xdr:colOff>1047750</xdr:colOff>
      <xdr:row>103</xdr:row>
      <xdr:rowOff>9525</xdr:rowOff>
    </xdr:from>
    <xdr:to>
      <xdr:col>3</xdr:col>
      <xdr:colOff>333375</xdr:colOff>
      <xdr:row>111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047875" y="21621750"/>
          <a:ext cx="3314700" cy="15144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Parlin H. Bakara, ST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PAB</a:t>
          </a:r>
        </a:p>
      </xdr:txBody>
    </xdr:sp>
    <xdr:clientData/>
  </xdr:twoCellAnchor>
  <xdr:twoCellAnchor>
    <xdr:from>
      <xdr:col>0</xdr:col>
      <xdr:colOff>85725</xdr:colOff>
      <xdr:row>103</xdr:row>
      <xdr:rowOff>0</xdr:rowOff>
    </xdr:from>
    <xdr:to>
      <xdr:col>2</xdr:col>
      <xdr:colOff>1676400</xdr:colOff>
      <xdr:row>110</xdr:row>
      <xdr:rowOff>180975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5725" y="21612225"/>
          <a:ext cx="2590800" cy="15144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Anton Simatupang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Pengawasan</a:t>
          </a:r>
        </a:p>
      </xdr:txBody>
    </xdr:sp>
    <xdr:clientData/>
  </xdr:twoCellAnchor>
  <xdr:twoCellAnchor>
    <xdr:from>
      <xdr:col>4</xdr:col>
      <xdr:colOff>333375</xdr:colOff>
      <xdr:row>177</xdr:row>
      <xdr:rowOff>0</xdr:rowOff>
    </xdr:from>
    <xdr:to>
      <xdr:col>6</xdr:col>
      <xdr:colOff>1238250</xdr:colOff>
      <xdr:row>184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019800" y="37528500"/>
          <a:ext cx="2762250" cy="14763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CV.  CIPTA MANDIRI ENGINEERING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Nufendi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Direktur</a:t>
          </a:r>
        </a:p>
      </xdr:txBody>
    </xdr:sp>
    <xdr:clientData/>
  </xdr:twoCellAnchor>
  <xdr:twoCellAnchor>
    <xdr:from>
      <xdr:col>2</xdr:col>
      <xdr:colOff>19050</xdr:colOff>
      <xdr:row>176</xdr:row>
      <xdr:rowOff>190500</xdr:rowOff>
    </xdr:from>
    <xdr:to>
      <xdr:col>2</xdr:col>
      <xdr:colOff>2628900</xdr:colOff>
      <xdr:row>184</xdr:row>
      <xdr:rowOff>123825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19175" y="37518975"/>
          <a:ext cx="2609850" cy="14763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PDAM TIRTANADI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Joni Mulyadi,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 ST, MT.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Kadiv. Produksi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9"/>
  <sheetViews>
    <sheetView topLeftCell="D1" workbookViewId="0">
      <selection activeCell="J5" sqref="J5:Q44"/>
    </sheetView>
  </sheetViews>
  <sheetFormatPr defaultColWidth="8.88671875" defaultRowHeight="14.4"/>
  <cols>
    <col min="1" max="1" width="5.44140625" style="106" customWidth="1"/>
    <col min="2" max="2" width="52.88671875" style="106" customWidth="1"/>
    <col min="3" max="3" width="25.21875" style="106" customWidth="1"/>
    <col min="4" max="5" width="11.21875" style="106" customWidth="1"/>
    <col min="6" max="6" width="11" style="106" customWidth="1"/>
    <col min="7" max="7" width="15.88671875" style="106" customWidth="1"/>
    <col min="8" max="8" width="17.77734375" style="106" customWidth="1"/>
    <col min="9" max="9" width="7" style="106" customWidth="1"/>
    <col min="10" max="10" width="6.6640625" style="106" customWidth="1"/>
    <col min="11" max="11" width="9.77734375" style="106" customWidth="1"/>
    <col min="12" max="12" width="39.44140625" style="106" customWidth="1"/>
    <col min="13" max="13" width="11.88671875" style="106" customWidth="1"/>
    <col min="14" max="14" width="9.5546875" style="106" customWidth="1"/>
    <col min="15" max="15" width="10.44140625" style="106" customWidth="1"/>
    <col min="16" max="16" width="16.21875" style="106" customWidth="1"/>
    <col min="17" max="17" width="17.44140625" style="106" customWidth="1"/>
    <col min="18" max="16384" width="8.88671875" style="106"/>
  </cols>
  <sheetData>
    <row r="2" spans="1:17" ht="16.95" customHeight="1">
      <c r="A2" s="256" t="s">
        <v>53</v>
      </c>
      <c r="B2" s="256"/>
      <c r="C2" s="256"/>
      <c r="D2" s="256"/>
      <c r="E2" s="256"/>
      <c r="F2" s="256"/>
      <c r="G2" s="256"/>
      <c r="H2" s="256"/>
    </row>
    <row r="3" spans="1:17" ht="16.95" customHeight="1">
      <c r="A3" s="256" t="s">
        <v>54</v>
      </c>
      <c r="B3" s="256"/>
      <c r="C3" s="256"/>
      <c r="D3" s="256"/>
      <c r="E3" s="256"/>
      <c r="F3" s="256"/>
      <c r="G3" s="256"/>
      <c r="H3" s="256"/>
    </row>
    <row r="4" spans="1:17" ht="16.95" customHeight="1" thickBot="1">
      <c r="D4" s="152"/>
      <c r="E4" s="107"/>
    </row>
    <row r="5" spans="1:17" ht="16.95" customHeight="1">
      <c r="A5" s="153" t="s">
        <v>55</v>
      </c>
      <c r="B5" s="154" t="s">
        <v>56</v>
      </c>
      <c r="C5" s="154" t="s">
        <v>57</v>
      </c>
      <c r="D5" s="154" t="s">
        <v>58</v>
      </c>
      <c r="E5" s="154" t="s">
        <v>59</v>
      </c>
      <c r="F5" s="154" t="s">
        <v>60</v>
      </c>
      <c r="G5" s="154" t="s">
        <v>61</v>
      </c>
      <c r="H5" s="155" t="s">
        <v>62</v>
      </c>
      <c r="J5" s="257" t="s">
        <v>63</v>
      </c>
      <c r="K5" s="258"/>
      <c r="L5" s="258"/>
      <c r="M5" s="258"/>
      <c r="N5" s="258"/>
      <c r="O5" s="258"/>
      <c r="P5" s="258"/>
      <c r="Q5" s="259"/>
    </row>
    <row r="6" spans="1:17" ht="16.95" customHeight="1" thickBot="1">
      <c r="A6" s="156"/>
      <c r="B6" s="157"/>
      <c r="C6" s="157" t="s">
        <v>64</v>
      </c>
      <c r="D6" s="157"/>
      <c r="E6" s="157"/>
      <c r="F6" s="157"/>
      <c r="G6" s="157" t="s">
        <v>65</v>
      </c>
      <c r="H6" s="158" t="s">
        <v>65</v>
      </c>
      <c r="J6" s="159"/>
      <c r="K6" s="160"/>
      <c r="L6" s="160"/>
      <c r="M6" s="160"/>
      <c r="N6" s="160"/>
      <c r="O6" s="160"/>
      <c r="P6" s="160"/>
      <c r="Q6" s="161"/>
    </row>
    <row r="7" spans="1:17" ht="16.95" customHeight="1">
      <c r="A7" s="162" t="s">
        <v>37</v>
      </c>
      <c r="B7" s="163" t="s">
        <v>66</v>
      </c>
      <c r="C7" s="164"/>
      <c r="D7" s="165"/>
      <c r="E7" s="165"/>
      <c r="F7" s="165"/>
      <c r="G7" s="165"/>
      <c r="H7" s="166"/>
      <c r="J7" s="159"/>
      <c r="K7" s="160"/>
      <c r="L7" s="160"/>
      <c r="M7" s="160"/>
      <c r="N7" s="160"/>
      <c r="O7" s="160"/>
      <c r="P7" s="160"/>
      <c r="Q7" s="161"/>
    </row>
    <row r="8" spans="1:17" ht="16.95" customHeight="1">
      <c r="A8" s="167" t="s">
        <v>8</v>
      </c>
      <c r="B8" s="168" t="s">
        <v>67</v>
      </c>
      <c r="C8" s="169"/>
      <c r="D8" s="170"/>
      <c r="E8" s="171"/>
      <c r="F8" s="168"/>
      <c r="G8" s="168"/>
      <c r="H8" s="172"/>
      <c r="J8" s="159"/>
      <c r="K8" s="173"/>
      <c r="L8" s="173"/>
      <c r="M8" s="173"/>
      <c r="N8" s="173"/>
      <c r="O8" s="173"/>
      <c r="P8" s="173"/>
      <c r="Q8" s="174"/>
    </row>
    <row r="9" spans="1:17" ht="16.95" customHeight="1">
      <c r="A9" s="175"/>
      <c r="B9" s="176" t="s">
        <v>68</v>
      </c>
      <c r="C9" s="177" t="s">
        <v>69</v>
      </c>
      <c r="D9" s="178">
        <f>((0.1*0.008*12*2*7850)+(0.184*0.0055*12*7850))</f>
        <v>246.05040000000002</v>
      </c>
      <c r="E9" s="179" t="s">
        <v>43</v>
      </c>
      <c r="F9" s="180" t="s">
        <v>70</v>
      </c>
      <c r="G9" s="178">
        <v>26400</v>
      </c>
      <c r="H9" s="181">
        <f>D9*G9</f>
        <v>6495730.5600000005</v>
      </c>
      <c r="J9" s="182" t="s">
        <v>37</v>
      </c>
      <c r="K9" s="183" t="s">
        <v>9</v>
      </c>
      <c r="L9" s="184"/>
      <c r="M9" s="160" t="s">
        <v>38</v>
      </c>
      <c r="N9" s="160" t="s">
        <v>39</v>
      </c>
      <c r="O9" s="160" t="s">
        <v>40</v>
      </c>
      <c r="P9" s="160" t="s">
        <v>41</v>
      </c>
      <c r="Q9" s="161" t="s">
        <v>42</v>
      </c>
    </row>
    <row r="10" spans="1:17" ht="16.95" customHeight="1">
      <c r="A10" s="175"/>
      <c r="B10" s="176"/>
      <c r="C10" s="185" t="s">
        <v>71</v>
      </c>
      <c r="D10" s="186"/>
      <c r="E10" s="187"/>
      <c r="F10" s="180"/>
      <c r="G10" s="188"/>
      <c r="H10" s="189"/>
      <c r="J10" s="190">
        <v>1</v>
      </c>
      <c r="K10" s="260" t="s">
        <v>68</v>
      </c>
      <c r="L10" s="260"/>
      <c r="M10" s="178">
        <f>((0.1*0.008*12*2*7850)+(0.184*0.0055*12*7850))</f>
        <v>246.05040000000002</v>
      </c>
      <c r="N10" s="192" t="s">
        <v>43</v>
      </c>
      <c r="O10" s="192" t="s">
        <v>44</v>
      </c>
      <c r="P10" s="143">
        <v>26400</v>
      </c>
      <c r="Q10" s="144">
        <f>P10*M10</f>
        <v>6495730.5600000005</v>
      </c>
    </row>
    <row r="11" spans="1:17" ht="16.95" customHeight="1">
      <c r="A11" s="175"/>
      <c r="B11" s="193"/>
      <c r="C11" s="186"/>
      <c r="D11" s="194"/>
      <c r="E11" s="180"/>
      <c r="F11" s="180"/>
      <c r="G11" s="195" t="s">
        <v>14</v>
      </c>
      <c r="H11" s="196">
        <f>SUM(H9:H10)</f>
        <v>6495730.5600000005</v>
      </c>
      <c r="J11" s="190"/>
      <c r="K11" s="261" t="s">
        <v>72</v>
      </c>
      <c r="L11" s="261"/>
      <c r="M11" s="145"/>
      <c r="N11" s="192"/>
      <c r="O11" s="192"/>
      <c r="P11" s="146" t="s">
        <v>45</v>
      </c>
      <c r="Q11" s="147">
        <f>SUM(Q10:Q10)</f>
        <v>6495730.5600000005</v>
      </c>
    </row>
    <row r="12" spans="1:17" ht="16.95" customHeight="1">
      <c r="A12" s="175"/>
      <c r="B12" s="197"/>
      <c r="C12" s="186"/>
      <c r="D12" s="194"/>
      <c r="E12" s="180"/>
      <c r="F12" s="180"/>
      <c r="G12" s="198"/>
      <c r="H12" s="181"/>
      <c r="J12" s="190"/>
      <c r="K12" s="191"/>
      <c r="L12" s="184"/>
      <c r="M12" s="145"/>
      <c r="N12" s="192"/>
      <c r="O12" s="192"/>
      <c r="P12" s="146"/>
      <c r="Q12" s="147"/>
    </row>
    <row r="13" spans="1:17" ht="16.95" customHeight="1">
      <c r="A13" s="175" t="s">
        <v>15</v>
      </c>
      <c r="B13" s="199" t="s">
        <v>73</v>
      </c>
      <c r="C13" s="186"/>
      <c r="D13" s="194"/>
      <c r="E13" s="180"/>
      <c r="F13" s="180"/>
      <c r="G13" s="198"/>
      <c r="H13" s="181"/>
      <c r="J13" s="190"/>
      <c r="K13" s="191"/>
      <c r="L13" s="184"/>
      <c r="M13" s="145"/>
      <c r="N13" s="192"/>
      <c r="O13" s="192"/>
      <c r="P13" s="146"/>
      <c r="Q13" s="147"/>
    </row>
    <row r="14" spans="1:17" ht="16.95" customHeight="1">
      <c r="A14" s="200">
        <v>1</v>
      </c>
      <c r="B14" s="176" t="s">
        <v>74</v>
      </c>
      <c r="C14" s="179" t="s">
        <v>75</v>
      </c>
      <c r="D14" s="201">
        <f>((0.184+0.1+0.1)*11)</f>
        <v>4.2240000000000002</v>
      </c>
      <c r="E14" s="179" t="s">
        <v>48</v>
      </c>
      <c r="F14" s="179" t="s">
        <v>49</v>
      </c>
      <c r="G14" s="202">
        <f>71850</f>
        <v>71850</v>
      </c>
      <c r="H14" s="181">
        <f t="shared" ref="H14:H17" si="0">G14*D14</f>
        <v>303494.40000000002</v>
      </c>
      <c r="J14" s="182" t="s">
        <v>46</v>
      </c>
      <c r="K14" s="203" t="s">
        <v>47</v>
      </c>
      <c r="L14" s="184"/>
      <c r="M14" s="143"/>
      <c r="N14" s="192"/>
      <c r="O14" s="192"/>
      <c r="P14" s="143"/>
      <c r="Q14" s="144"/>
    </row>
    <row r="15" spans="1:17" ht="16.95" customHeight="1">
      <c r="A15" s="200">
        <f>A14+1</f>
        <v>2</v>
      </c>
      <c r="B15" s="176" t="s">
        <v>76</v>
      </c>
      <c r="C15" s="179" t="s">
        <v>75</v>
      </c>
      <c r="D15" s="201">
        <f>((0.184+0.1+0.1)*14)</f>
        <v>5.3760000000000003</v>
      </c>
      <c r="E15" s="179" t="s">
        <v>48</v>
      </c>
      <c r="F15" s="179" t="s">
        <v>49</v>
      </c>
      <c r="G15" s="202">
        <f>505300</f>
        <v>505300</v>
      </c>
      <c r="H15" s="181">
        <f t="shared" si="0"/>
        <v>2716492.8000000003</v>
      </c>
      <c r="J15" s="190">
        <v>1</v>
      </c>
      <c r="K15" s="184" t="s">
        <v>74</v>
      </c>
      <c r="L15" s="184"/>
      <c r="M15" s="201">
        <f>((0.184+0.1+0.1)*11)</f>
        <v>4.2240000000000002</v>
      </c>
      <c r="N15" s="192" t="s">
        <v>48</v>
      </c>
      <c r="O15" s="192" t="s">
        <v>49</v>
      </c>
      <c r="P15" s="148">
        <f>71850</f>
        <v>71850</v>
      </c>
      <c r="Q15" s="149">
        <f>+P15*M15</f>
        <v>303494.40000000002</v>
      </c>
    </row>
    <row r="16" spans="1:17" ht="16.95" customHeight="1">
      <c r="A16" s="200">
        <f>A15+1</f>
        <v>3</v>
      </c>
      <c r="B16" s="176" t="s">
        <v>50</v>
      </c>
      <c r="C16" s="179" t="s">
        <v>75</v>
      </c>
      <c r="D16" s="204">
        <v>1</v>
      </c>
      <c r="E16" s="179" t="s">
        <v>22</v>
      </c>
      <c r="F16" s="179" t="s">
        <v>13</v>
      </c>
      <c r="G16" s="202">
        <v>50000</v>
      </c>
      <c r="H16" s="181">
        <f t="shared" si="0"/>
        <v>50000</v>
      </c>
      <c r="J16" s="190"/>
      <c r="K16" s="184" t="s">
        <v>77</v>
      </c>
      <c r="L16" s="184"/>
      <c r="M16" s="201"/>
      <c r="N16" s="192"/>
      <c r="O16" s="192"/>
      <c r="P16" s="148"/>
      <c r="Q16" s="149"/>
    </row>
    <row r="17" spans="1:17" ht="16.95" customHeight="1">
      <c r="A17" s="200">
        <f>A16+1</f>
        <v>4</v>
      </c>
      <c r="B17" s="198" t="s">
        <v>78</v>
      </c>
      <c r="C17" s="205" t="s">
        <v>75</v>
      </c>
      <c r="D17" s="186">
        <v>1</v>
      </c>
      <c r="E17" s="206" t="s">
        <v>79</v>
      </c>
      <c r="F17" s="180" t="s">
        <v>70</v>
      </c>
      <c r="G17" s="198">
        <v>50000</v>
      </c>
      <c r="H17" s="181">
        <f t="shared" si="0"/>
        <v>50000</v>
      </c>
      <c r="J17" s="190">
        <f>J15+1</f>
        <v>2</v>
      </c>
      <c r="K17" s="184" t="s">
        <v>76</v>
      </c>
      <c r="L17" s="184"/>
      <c r="M17" s="201">
        <f>((0.184+0.1+0.1)*14)</f>
        <v>5.3760000000000003</v>
      </c>
      <c r="N17" s="192" t="s">
        <v>48</v>
      </c>
      <c r="O17" s="192" t="s">
        <v>49</v>
      </c>
      <c r="P17" s="148">
        <f>505300</f>
        <v>505300</v>
      </c>
      <c r="Q17" s="149">
        <f>+P17*M17</f>
        <v>2716492.8000000003</v>
      </c>
    </row>
    <row r="18" spans="1:17" ht="16.95" customHeight="1" thickBot="1">
      <c r="A18" s="207"/>
      <c r="B18" s="208"/>
      <c r="C18" s="209"/>
      <c r="D18" s="209"/>
      <c r="E18" s="210"/>
      <c r="F18" s="210"/>
      <c r="G18" s="211" t="s">
        <v>18</v>
      </c>
      <c r="H18" s="212">
        <f>SUM(H12:H17)</f>
        <v>3119987.2</v>
      </c>
      <c r="J18" s="190"/>
      <c r="K18" s="184" t="s">
        <v>80</v>
      </c>
      <c r="L18" s="184"/>
      <c r="M18" s="201"/>
      <c r="N18" s="192"/>
      <c r="O18" s="192"/>
      <c r="P18" s="148"/>
      <c r="Q18" s="149"/>
    </row>
    <row r="19" spans="1:17" ht="16.95" customHeight="1">
      <c r="A19" s="213"/>
      <c r="B19" s="214"/>
      <c r="C19" s="215"/>
      <c r="D19" s="216"/>
      <c r="E19" s="217"/>
      <c r="F19" s="218"/>
      <c r="G19" s="219" t="s">
        <v>19</v>
      </c>
      <c r="H19" s="220">
        <f>+H18+H11</f>
        <v>9615717.7600000016</v>
      </c>
      <c r="J19" s="190">
        <f>J17+1</f>
        <v>3</v>
      </c>
      <c r="K19" s="184" t="s">
        <v>50</v>
      </c>
      <c r="L19" s="184"/>
      <c r="M19" s="204">
        <v>1</v>
      </c>
      <c r="N19" s="192" t="s">
        <v>22</v>
      </c>
      <c r="O19" s="192" t="s">
        <v>13</v>
      </c>
      <c r="P19" s="148">
        <v>50000</v>
      </c>
      <c r="Q19" s="144">
        <f>P19*M19</f>
        <v>50000</v>
      </c>
    </row>
    <row r="20" spans="1:17" ht="16.95" customHeight="1">
      <c r="A20" s="221"/>
      <c r="B20" s="222"/>
      <c r="C20" s="223"/>
      <c r="D20" s="224"/>
      <c r="E20" s="225"/>
      <c r="F20" s="226"/>
      <c r="G20" s="227" t="s">
        <v>81</v>
      </c>
      <c r="H20" s="228">
        <f>11/12*H19</f>
        <v>8814407.9466666672</v>
      </c>
      <c r="J20" s="190"/>
      <c r="K20" s="184"/>
      <c r="L20" s="184"/>
      <c r="M20" s="184"/>
      <c r="N20" s="184"/>
      <c r="O20" s="184"/>
      <c r="P20" s="146" t="s">
        <v>51</v>
      </c>
      <c r="Q20" s="229">
        <f>SUM(Q15:Q19)</f>
        <v>3069987.2</v>
      </c>
    </row>
    <row r="21" spans="1:17" ht="16.95" customHeight="1">
      <c r="A21" s="253" t="s">
        <v>82</v>
      </c>
      <c r="B21" s="254"/>
      <c r="C21" s="254"/>
      <c r="D21" s="254"/>
      <c r="E21" s="254"/>
      <c r="F21" s="255"/>
      <c r="G21" s="230" t="s">
        <v>83</v>
      </c>
      <c r="H21" s="231">
        <f>H20*0.12</f>
        <v>1057728.9536000001</v>
      </c>
      <c r="J21" s="190"/>
      <c r="K21" s="184"/>
      <c r="L21" s="184"/>
      <c r="M21" s="148"/>
      <c r="N21" s="184"/>
      <c r="O21" s="184"/>
      <c r="P21" s="232" t="s">
        <v>52</v>
      </c>
      <c r="Q21" s="233">
        <f>+Q11+Q20</f>
        <v>9565717.7600000016</v>
      </c>
    </row>
    <row r="22" spans="1:17" ht="16.95" customHeight="1" thickBot="1">
      <c r="A22" s="221"/>
      <c r="B22" s="222"/>
      <c r="C22" s="223"/>
      <c r="D22" s="224"/>
      <c r="E22" s="225"/>
      <c r="F22" s="226"/>
      <c r="G22" s="230" t="s">
        <v>84</v>
      </c>
      <c r="H22" s="231">
        <f>SUM(H19+H21)</f>
        <v>10673446.713600002</v>
      </c>
      <c r="J22" s="234"/>
      <c r="K22" s="235"/>
      <c r="L22" s="235"/>
      <c r="M22" s="235"/>
      <c r="N22" s="235"/>
      <c r="O22" s="235"/>
      <c r="P22" s="235"/>
      <c r="Q22" s="236"/>
    </row>
    <row r="23" spans="1:17" ht="16.95" customHeight="1" thickBot="1">
      <c r="A23" s="237"/>
      <c r="B23" s="238"/>
      <c r="C23" s="239"/>
      <c r="D23" s="239"/>
      <c r="E23" s="240"/>
      <c r="F23" s="241"/>
      <c r="G23" s="242" t="s">
        <v>21</v>
      </c>
      <c r="H23" s="243">
        <f>ROUND(H22,-0.5)</f>
        <v>10673447</v>
      </c>
      <c r="J23" s="244"/>
      <c r="K23" s="244"/>
      <c r="L23" s="244"/>
      <c r="M23" s="244"/>
      <c r="N23" s="244"/>
      <c r="O23" s="244"/>
      <c r="P23" s="244"/>
      <c r="Q23" s="244"/>
    </row>
    <row r="24" spans="1:17" ht="16.95" customHeight="1">
      <c r="A24" s="245"/>
      <c r="B24" s="222"/>
      <c r="C24" s="223"/>
      <c r="D24" s="224"/>
      <c r="E24" s="225"/>
      <c r="F24" s="222"/>
      <c r="G24" s="222"/>
      <c r="H24" s="222"/>
      <c r="J24" s="244"/>
      <c r="K24" s="244"/>
      <c r="L24" s="244"/>
      <c r="M24" s="244"/>
      <c r="N24" s="244"/>
      <c r="O24" s="244"/>
      <c r="P24" s="244"/>
      <c r="Q24" s="244"/>
    </row>
    <row r="25" spans="1:17" ht="16.95" customHeight="1">
      <c r="A25" s="245"/>
      <c r="B25" s="222"/>
      <c r="C25" s="223"/>
      <c r="D25" s="224"/>
      <c r="E25" s="225"/>
      <c r="F25" s="222"/>
      <c r="G25" s="222"/>
      <c r="H25" s="222"/>
      <c r="J25" s="244"/>
      <c r="K25" s="244"/>
      <c r="L25" s="244"/>
      <c r="M25" s="244"/>
      <c r="N25" s="244"/>
      <c r="O25" s="244"/>
      <c r="P25" s="244"/>
      <c r="Q25" s="244"/>
    </row>
    <row r="26" spans="1:17" ht="16.95" customHeight="1">
      <c r="A26" s="245"/>
      <c r="B26" s="222"/>
      <c r="C26" s="223"/>
      <c r="D26" s="224"/>
      <c r="E26" s="225"/>
      <c r="F26" s="222"/>
      <c r="G26" s="225" t="s">
        <v>85</v>
      </c>
      <c r="H26" s="225"/>
      <c r="J26" s="244"/>
      <c r="K26" s="244"/>
      <c r="L26" s="244"/>
      <c r="M26" s="244"/>
      <c r="N26" s="244"/>
      <c r="O26" s="244"/>
      <c r="P26" s="244"/>
      <c r="Q26" s="244"/>
    </row>
    <row r="27" spans="1:17" ht="16.95" customHeight="1">
      <c r="A27" s="245"/>
      <c r="B27" s="225" t="s">
        <v>86</v>
      </c>
      <c r="C27" s="223"/>
      <c r="D27" s="225" t="s">
        <v>87</v>
      </c>
      <c r="E27" s="225"/>
      <c r="F27" s="225"/>
      <c r="G27" s="225" t="s">
        <v>88</v>
      </c>
      <c r="H27" s="225"/>
      <c r="J27" s="244"/>
      <c r="K27" s="244"/>
      <c r="L27" s="244"/>
      <c r="M27" s="244"/>
      <c r="N27" s="244"/>
      <c r="O27" s="244"/>
      <c r="P27" s="244"/>
      <c r="Q27" s="244"/>
    </row>
    <row r="28" spans="1:17" ht="16.95" customHeight="1">
      <c r="A28" s="245"/>
      <c r="B28" s="246"/>
      <c r="C28" s="223"/>
      <c r="D28" s="224"/>
      <c r="E28" s="225"/>
      <c r="F28" s="222"/>
      <c r="G28" s="222"/>
      <c r="H28" s="222"/>
      <c r="J28" s="244"/>
      <c r="K28" s="244"/>
      <c r="L28" s="244"/>
      <c r="M28" s="244"/>
      <c r="N28" s="244"/>
      <c r="O28" s="244"/>
      <c r="P28" s="244"/>
      <c r="Q28" s="244"/>
    </row>
    <row r="29" spans="1:17" ht="16.95" customHeight="1">
      <c r="A29" s="245"/>
      <c r="B29" s="246"/>
      <c r="C29" s="223"/>
      <c r="D29" s="224"/>
      <c r="E29" s="225"/>
      <c r="F29" s="222"/>
      <c r="G29" s="222"/>
      <c r="H29" s="222"/>
      <c r="J29" s="244"/>
      <c r="K29" s="244"/>
      <c r="L29" s="244"/>
      <c r="M29" s="244"/>
      <c r="N29" s="244"/>
      <c r="O29" s="244"/>
      <c r="P29" s="244"/>
      <c r="Q29" s="244"/>
    </row>
    <row r="30" spans="1:17" ht="16.95" customHeight="1">
      <c r="A30" s="245"/>
      <c r="B30" s="246"/>
      <c r="C30" s="223"/>
      <c r="D30" s="224"/>
      <c r="E30" s="225"/>
      <c r="F30" s="222"/>
      <c r="G30" s="247"/>
      <c r="H30" s="222"/>
      <c r="J30" s="244"/>
      <c r="K30" s="244"/>
      <c r="L30" s="244"/>
      <c r="M30" s="244"/>
      <c r="N30" s="244"/>
      <c r="O30" s="244"/>
      <c r="P30" s="244"/>
      <c r="Q30" s="244"/>
    </row>
    <row r="31" spans="1:17" ht="16.95" customHeight="1">
      <c r="A31" s="245"/>
      <c r="B31" s="247"/>
      <c r="C31" s="223"/>
      <c r="D31" s="247"/>
      <c r="E31" s="247"/>
      <c r="F31" s="247"/>
      <c r="G31" s="247"/>
      <c r="H31" s="247"/>
      <c r="J31" s="244"/>
      <c r="K31" s="244"/>
      <c r="L31" s="244"/>
      <c r="M31" s="244"/>
      <c r="N31" s="244"/>
      <c r="O31" s="244"/>
      <c r="P31" s="244"/>
      <c r="Q31" s="244"/>
    </row>
    <row r="32" spans="1:17" ht="16.95" customHeight="1">
      <c r="A32" s="245"/>
      <c r="B32" s="225" t="s">
        <v>89</v>
      </c>
      <c r="C32" s="223"/>
      <c r="D32" s="225" t="s">
        <v>90</v>
      </c>
      <c r="E32" s="225"/>
      <c r="F32" s="225"/>
      <c r="G32" s="225" t="s">
        <v>91</v>
      </c>
      <c r="H32" s="225"/>
      <c r="J32" s="244"/>
      <c r="K32" s="244"/>
      <c r="L32" s="244"/>
      <c r="M32" s="244"/>
      <c r="N32" s="244"/>
      <c r="O32" s="244"/>
      <c r="P32" s="244"/>
      <c r="Q32" s="244"/>
    </row>
    <row r="33" spans="10:17" ht="16.95" customHeight="1">
      <c r="J33" s="244"/>
      <c r="K33" s="244"/>
      <c r="L33" s="244"/>
      <c r="M33" s="244"/>
      <c r="N33" s="244"/>
      <c r="O33" s="244"/>
      <c r="P33" s="244"/>
      <c r="Q33" s="244"/>
    </row>
    <row r="34" spans="10:17" ht="16.95" customHeight="1">
      <c r="J34" s="244"/>
      <c r="K34" s="244"/>
      <c r="L34" s="244"/>
      <c r="M34" s="244"/>
      <c r="N34" s="244"/>
      <c r="O34" s="244"/>
      <c r="P34" s="244"/>
      <c r="Q34" s="244"/>
    </row>
    <row r="35" spans="10:17" ht="16.95" customHeight="1">
      <c r="J35" s="244"/>
      <c r="K35" s="244"/>
      <c r="L35" s="244"/>
      <c r="M35" s="244"/>
      <c r="N35" s="244"/>
      <c r="O35" s="244"/>
      <c r="P35" s="244"/>
      <c r="Q35" s="244"/>
    </row>
    <row r="36" spans="10:17" ht="16.95" customHeight="1">
      <c r="J36" s="244"/>
      <c r="K36" s="244"/>
      <c r="L36" s="244"/>
      <c r="M36" s="244"/>
      <c r="N36" s="244"/>
      <c r="O36" s="244"/>
      <c r="P36" s="244"/>
      <c r="Q36" s="244"/>
    </row>
    <row r="37" spans="10:17" ht="16.95" customHeight="1">
      <c r="J37" s="244"/>
      <c r="K37" s="244"/>
      <c r="L37" s="244"/>
      <c r="M37" s="244"/>
      <c r="N37" s="244"/>
      <c r="O37" s="244"/>
      <c r="P37" s="244"/>
      <c r="Q37" s="244"/>
    </row>
    <row r="38" spans="10:17" ht="16.95" customHeight="1">
      <c r="J38" s="244"/>
      <c r="K38" s="244"/>
      <c r="L38" s="244"/>
      <c r="M38" s="244"/>
      <c r="N38" s="244"/>
      <c r="O38" s="244"/>
      <c r="P38" s="244"/>
      <c r="Q38" s="244"/>
    </row>
    <row r="39" spans="10:17" ht="16.95" customHeight="1">
      <c r="J39" s="244"/>
      <c r="K39" s="244"/>
      <c r="L39" s="244"/>
      <c r="M39" s="244"/>
      <c r="N39" s="244"/>
      <c r="O39" s="244"/>
      <c r="P39" s="244"/>
      <c r="Q39" s="244"/>
    </row>
    <row r="40" spans="10:17" ht="16.95" customHeight="1">
      <c r="J40" s="244"/>
      <c r="K40" s="244"/>
      <c r="L40" s="244"/>
      <c r="M40" s="244"/>
      <c r="N40" s="244"/>
      <c r="O40" s="244"/>
      <c r="P40" s="244"/>
      <c r="Q40" s="244"/>
    </row>
    <row r="41" spans="10:17" ht="16.95" customHeight="1"/>
    <row r="42" spans="10:17" ht="16.95" customHeight="1"/>
    <row r="43" spans="10:17" ht="16.95" customHeight="1"/>
    <row r="44" spans="10:17" ht="16.95" customHeight="1"/>
    <row r="45" spans="10:17" ht="16.95" customHeight="1"/>
    <row r="46" spans="10:17" ht="16.95" customHeight="1"/>
    <row r="47" spans="10:17" ht="16.95" customHeight="1"/>
    <row r="48" spans="10:17" ht="16.95" customHeight="1"/>
    <row r="49" ht="16.95" customHeight="1"/>
  </sheetData>
  <mergeCells count="6">
    <mergeCell ref="A21:F21"/>
    <mergeCell ref="A2:H2"/>
    <mergeCell ref="A3:H3"/>
    <mergeCell ref="J5:Q5"/>
    <mergeCell ref="K10:L10"/>
    <mergeCell ref="K11:L1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62"/>
  <sheetViews>
    <sheetView tabSelected="1" topLeftCell="A22" zoomScale="85" zoomScaleNormal="85" zoomScaleSheetLayoutView="100" workbookViewId="0">
      <selection activeCell="G28" sqref="G28"/>
    </sheetView>
  </sheetViews>
  <sheetFormatPr defaultRowHeight="15"/>
  <cols>
    <col min="1" max="1" width="9.109375" style="1"/>
    <col min="2" max="2" width="5.88671875" style="1" customWidth="1"/>
    <col min="3" max="3" width="56.33203125" style="1" customWidth="1"/>
    <col min="4" max="4" width="8.5546875" style="118" customWidth="1"/>
    <col min="5" max="5" width="11.88671875" style="1" customWidth="1"/>
    <col min="6" max="6" width="13.5546875" style="1" customWidth="1"/>
    <col min="7" max="7" width="15.5546875" style="1" customWidth="1"/>
    <col min="8" max="8" width="17.5546875" style="1" customWidth="1"/>
    <col min="9" max="9" width="9.109375" style="1"/>
    <col min="10" max="10" width="9.33203125" style="1" customWidth="1"/>
    <col min="11" max="11" width="21.6640625" style="1" bestFit="1" customWidth="1"/>
    <col min="12" max="12" width="30.109375" style="1" customWidth="1"/>
    <col min="13" max="15" width="9.33203125" style="1" bestFit="1" customWidth="1"/>
    <col min="16" max="17" width="17.88671875" style="1" customWidth="1"/>
    <col min="18" max="20" width="9.33203125" style="1" bestFit="1" customWidth="1"/>
    <col min="21" max="22" width="11.5546875" style="1" bestFit="1" customWidth="1"/>
    <col min="23" max="256" width="9.109375" style="1"/>
    <col min="257" max="257" width="5.88671875" style="1" customWidth="1"/>
    <col min="258" max="258" width="60.44140625" style="1" customWidth="1"/>
    <col min="259" max="259" width="9.88671875" style="1" bestFit="1" customWidth="1"/>
    <col min="260" max="260" width="12.33203125" style="1" bestFit="1" customWidth="1"/>
    <col min="261" max="261" width="0" style="1" hidden="1" customWidth="1"/>
    <col min="262" max="262" width="16" style="1" customWidth="1"/>
    <col min="263" max="263" width="18.109375" style="1" customWidth="1"/>
    <col min="264" max="264" width="18.33203125" style="1" bestFit="1" customWidth="1"/>
    <col min="265" max="265" width="9.109375" style="1"/>
    <col min="266" max="267" width="21.6640625" style="1" bestFit="1" customWidth="1"/>
    <col min="268" max="268" width="18.6640625" style="1" bestFit="1" customWidth="1"/>
    <col min="269" max="512" width="9.109375" style="1"/>
    <col min="513" max="513" width="5.88671875" style="1" customWidth="1"/>
    <col min="514" max="514" width="60.44140625" style="1" customWidth="1"/>
    <col min="515" max="515" width="9.88671875" style="1" bestFit="1" customWidth="1"/>
    <col min="516" max="516" width="12.33203125" style="1" bestFit="1" customWidth="1"/>
    <col min="517" max="517" width="0" style="1" hidden="1" customWidth="1"/>
    <col min="518" max="518" width="16" style="1" customWidth="1"/>
    <col min="519" max="519" width="18.109375" style="1" customWidth="1"/>
    <col min="520" max="520" width="18.33203125" style="1" bestFit="1" customWidth="1"/>
    <col min="521" max="521" width="9.109375" style="1"/>
    <col min="522" max="523" width="21.6640625" style="1" bestFit="1" customWidth="1"/>
    <col min="524" max="524" width="18.6640625" style="1" bestFit="1" customWidth="1"/>
    <col min="525" max="768" width="9.109375" style="1"/>
    <col min="769" max="769" width="5.88671875" style="1" customWidth="1"/>
    <col min="770" max="770" width="60.44140625" style="1" customWidth="1"/>
    <col min="771" max="771" width="9.88671875" style="1" bestFit="1" customWidth="1"/>
    <col min="772" max="772" width="12.33203125" style="1" bestFit="1" customWidth="1"/>
    <col min="773" max="773" width="0" style="1" hidden="1" customWidth="1"/>
    <col min="774" max="774" width="16" style="1" customWidth="1"/>
    <col min="775" max="775" width="18.109375" style="1" customWidth="1"/>
    <col min="776" max="776" width="18.33203125" style="1" bestFit="1" customWidth="1"/>
    <col min="777" max="777" width="9.109375" style="1"/>
    <col min="778" max="779" width="21.6640625" style="1" bestFit="1" customWidth="1"/>
    <col min="780" max="780" width="18.6640625" style="1" bestFit="1" customWidth="1"/>
    <col min="781" max="1024" width="9.109375" style="1"/>
    <col min="1025" max="1025" width="5.88671875" style="1" customWidth="1"/>
    <col min="1026" max="1026" width="60.44140625" style="1" customWidth="1"/>
    <col min="1027" max="1027" width="9.88671875" style="1" bestFit="1" customWidth="1"/>
    <col min="1028" max="1028" width="12.33203125" style="1" bestFit="1" customWidth="1"/>
    <col min="1029" max="1029" width="0" style="1" hidden="1" customWidth="1"/>
    <col min="1030" max="1030" width="16" style="1" customWidth="1"/>
    <col min="1031" max="1031" width="18.109375" style="1" customWidth="1"/>
    <col min="1032" max="1032" width="18.33203125" style="1" bestFit="1" customWidth="1"/>
    <col min="1033" max="1033" width="9.109375" style="1"/>
    <col min="1034" max="1035" width="21.6640625" style="1" bestFit="1" customWidth="1"/>
    <col min="1036" max="1036" width="18.6640625" style="1" bestFit="1" customWidth="1"/>
    <col min="1037" max="1280" width="9.109375" style="1"/>
    <col min="1281" max="1281" width="5.88671875" style="1" customWidth="1"/>
    <col min="1282" max="1282" width="60.44140625" style="1" customWidth="1"/>
    <col min="1283" max="1283" width="9.88671875" style="1" bestFit="1" customWidth="1"/>
    <col min="1284" max="1284" width="12.33203125" style="1" bestFit="1" customWidth="1"/>
    <col min="1285" max="1285" width="0" style="1" hidden="1" customWidth="1"/>
    <col min="1286" max="1286" width="16" style="1" customWidth="1"/>
    <col min="1287" max="1287" width="18.109375" style="1" customWidth="1"/>
    <col min="1288" max="1288" width="18.33203125" style="1" bestFit="1" customWidth="1"/>
    <col min="1289" max="1289" width="9.109375" style="1"/>
    <col min="1290" max="1291" width="21.6640625" style="1" bestFit="1" customWidth="1"/>
    <col min="1292" max="1292" width="18.6640625" style="1" bestFit="1" customWidth="1"/>
    <col min="1293" max="1536" width="9.109375" style="1"/>
    <col min="1537" max="1537" width="5.88671875" style="1" customWidth="1"/>
    <col min="1538" max="1538" width="60.44140625" style="1" customWidth="1"/>
    <col min="1539" max="1539" width="9.88671875" style="1" bestFit="1" customWidth="1"/>
    <col min="1540" max="1540" width="12.33203125" style="1" bestFit="1" customWidth="1"/>
    <col min="1541" max="1541" width="0" style="1" hidden="1" customWidth="1"/>
    <col min="1542" max="1542" width="16" style="1" customWidth="1"/>
    <col min="1543" max="1543" width="18.109375" style="1" customWidth="1"/>
    <col min="1544" max="1544" width="18.33203125" style="1" bestFit="1" customWidth="1"/>
    <col min="1545" max="1545" width="9.109375" style="1"/>
    <col min="1546" max="1547" width="21.6640625" style="1" bestFit="1" customWidth="1"/>
    <col min="1548" max="1548" width="18.6640625" style="1" bestFit="1" customWidth="1"/>
    <col min="1549" max="1792" width="9.109375" style="1"/>
    <col min="1793" max="1793" width="5.88671875" style="1" customWidth="1"/>
    <col min="1794" max="1794" width="60.44140625" style="1" customWidth="1"/>
    <col min="1795" max="1795" width="9.88671875" style="1" bestFit="1" customWidth="1"/>
    <col min="1796" max="1796" width="12.33203125" style="1" bestFit="1" customWidth="1"/>
    <col min="1797" max="1797" width="0" style="1" hidden="1" customWidth="1"/>
    <col min="1798" max="1798" width="16" style="1" customWidth="1"/>
    <col min="1799" max="1799" width="18.109375" style="1" customWidth="1"/>
    <col min="1800" max="1800" width="18.33203125" style="1" bestFit="1" customWidth="1"/>
    <col min="1801" max="1801" width="9.109375" style="1"/>
    <col min="1802" max="1803" width="21.6640625" style="1" bestFit="1" customWidth="1"/>
    <col min="1804" max="1804" width="18.6640625" style="1" bestFit="1" customWidth="1"/>
    <col min="1805" max="2048" width="9.109375" style="1"/>
    <col min="2049" max="2049" width="5.88671875" style="1" customWidth="1"/>
    <col min="2050" max="2050" width="60.44140625" style="1" customWidth="1"/>
    <col min="2051" max="2051" width="9.88671875" style="1" bestFit="1" customWidth="1"/>
    <col min="2052" max="2052" width="12.33203125" style="1" bestFit="1" customWidth="1"/>
    <col min="2053" max="2053" width="0" style="1" hidden="1" customWidth="1"/>
    <col min="2054" max="2054" width="16" style="1" customWidth="1"/>
    <col min="2055" max="2055" width="18.109375" style="1" customWidth="1"/>
    <col min="2056" max="2056" width="18.33203125" style="1" bestFit="1" customWidth="1"/>
    <col min="2057" max="2057" width="9.109375" style="1"/>
    <col min="2058" max="2059" width="21.6640625" style="1" bestFit="1" customWidth="1"/>
    <col min="2060" max="2060" width="18.6640625" style="1" bestFit="1" customWidth="1"/>
    <col min="2061" max="2304" width="9.109375" style="1"/>
    <col min="2305" max="2305" width="5.88671875" style="1" customWidth="1"/>
    <col min="2306" max="2306" width="60.44140625" style="1" customWidth="1"/>
    <col min="2307" max="2307" width="9.88671875" style="1" bestFit="1" customWidth="1"/>
    <col min="2308" max="2308" width="12.33203125" style="1" bestFit="1" customWidth="1"/>
    <col min="2309" max="2309" width="0" style="1" hidden="1" customWidth="1"/>
    <col min="2310" max="2310" width="16" style="1" customWidth="1"/>
    <col min="2311" max="2311" width="18.109375" style="1" customWidth="1"/>
    <col min="2312" max="2312" width="18.33203125" style="1" bestFit="1" customWidth="1"/>
    <col min="2313" max="2313" width="9.109375" style="1"/>
    <col min="2314" max="2315" width="21.6640625" style="1" bestFit="1" customWidth="1"/>
    <col min="2316" max="2316" width="18.6640625" style="1" bestFit="1" customWidth="1"/>
    <col min="2317" max="2560" width="9.109375" style="1"/>
    <col min="2561" max="2561" width="5.88671875" style="1" customWidth="1"/>
    <col min="2562" max="2562" width="60.44140625" style="1" customWidth="1"/>
    <col min="2563" max="2563" width="9.88671875" style="1" bestFit="1" customWidth="1"/>
    <col min="2564" max="2564" width="12.33203125" style="1" bestFit="1" customWidth="1"/>
    <col min="2565" max="2565" width="0" style="1" hidden="1" customWidth="1"/>
    <col min="2566" max="2566" width="16" style="1" customWidth="1"/>
    <col min="2567" max="2567" width="18.109375" style="1" customWidth="1"/>
    <col min="2568" max="2568" width="18.33203125" style="1" bestFit="1" customWidth="1"/>
    <col min="2569" max="2569" width="9.109375" style="1"/>
    <col min="2570" max="2571" width="21.6640625" style="1" bestFit="1" customWidth="1"/>
    <col min="2572" max="2572" width="18.6640625" style="1" bestFit="1" customWidth="1"/>
    <col min="2573" max="2816" width="9.109375" style="1"/>
    <col min="2817" max="2817" width="5.88671875" style="1" customWidth="1"/>
    <col min="2818" max="2818" width="60.44140625" style="1" customWidth="1"/>
    <col min="2819" max="2819" width="9.88671875" style="1" bestFit="1" customWidth="1"/>
    <col min="2820" max="2820" width="12.33203125" style="1" bestFit="1" customWidth="1"/>
    <col min="2821" max="2821" width="0" style="1" hidden="1" customWidth="1"/>
    <col min="2822" max="2822" width="16" style="1" customWidth="1"/>
    <col min="2823" max="2823" width="18.109375" style="1" customWidth="1"/>
    <col min="2824" max="2824" width="18.33203125" style="1" bestFit="1" customWidth="1"/>
    <col min="2825" max="2825" width="9.109375" style="1"/>
    <col min="2826" max="2827" width="21.6640625" style="1" bestFit="1" customWidth="1"/>
    <col min="2828" max="2828" width="18.6640625" style="1" bestFit="1" customWidth="1"/>
    <col min="2829" max="3072" width="9.109375" style="1"/>
    <col min="3073" max="3073" width="5.88671875" style="1" customWidth="1"/>
    <col min="3074" max="3074" width="60.44140625" style="1" customWidth="1"/>
    <col min="3075" max="3075" width="9.88671875" style="1" bestFit="1" customWidth="1"/>
    <col min="3076" max="3076" width="12.33203125" style="1" bestFit="1" customWidth="1"/>
    <col min="3077" max="3077" width="0" style="1" hidden="1" customWidth="1"/>
    <col min="3078" max="3078" width="16" style="1" customWidth="1"/>
    <col min="3079" max="3079" width="18.109375" style="1" customWidth="1"/>
    <col min="3080" max="3080" width="18.33203125" style="1" bestFit="1" customWidth="1"/>
    <col min="3081" max="3081" width="9.109375" style="1"/>
    <col min="3082" max="3083" width="21.6640625" style="1" bestFit="1" customWidth="1"/>
    <col min="3084" max="3084" width="18.6640625" style="1" bestFit="1" customWidth="1"/>
    <col min="3085" max="3328" width="9.109375" style="1"/>
    <col min="3329" max="3329" width="5.88671875" style="1" customWidth="1"/>
    <col min="3330" max="3330" width="60.44140625" style="1" customWidth="1"/>
    <col min="3331" max="3331" width="9.88671875" style="1" bestFit="1" customWidth="1"/>
    <col min="3332" max="3332" width="12.33203125" style="1" bestFit="1" customWidth="1"/>
    <col min="3333" max="3333" width="0" style="1" hidden="1" customWidth="1"/>
    <col min="3334" max="3334" width="16" style="1" customWidth="1"/>
    <col min="3335" max="3335" width="18.109375" style="1" customWidth="1"/>
    <col min="3336" max="3336" width="18.33203125" style="1" bestFit="1" customWidth="1"/>
    <col min="3337" max="3337" width="9.109375" style="1"/>
    <col min="3338" max="3339" width="21.6640625" style="1" bestFit="1" customWidth="1"/>
    <col min="3340" max="3340" width="18.6640625" style="1" bestFit="1" customWidth="1"/>
    <col min="3341" max="3584" width="9.109375" style="1"/>
    <col min="3585" max="3585" width="5.88671875" style="1" customWidth="1"/>
    <col min="3586" max="3586" width="60.44140625" style="1" customWidth="1"/>
    <col min="3587" max="3587" width="9.88671875" style="1" bestFit="1" customWidth="1"/>
    <col min="3588" max="3588" width="12.33203125" style="1" bestFit="1" customWidth="1"/>
    <col min="3589" max="3589" width="0" style="1" hidden="1" customWidth="1"/>
    <col min="3590" max="3590" width="16" style="1" customWidth="1"/>
    <col min="3591" max="3591" width="18.109375" style="1" customWidth="1"/>
    <col min="3592" max="3592" width="18.33203125" style="1" bestFit="1" customWidth="1"/>
    <col min="3593" max="3593" width="9.109375" style="1"/>
    <col min="3594" max="3595" width="21.6640625" style="1" bestFit="1" customWidth="1"/>
    <col min="3596" max="3596" width="18.6640625" style="1" bestFit="1" customWidth="1"/>
    <col min="3597" max="3840" width="9.109375" style="1"/>
    <col min="3841" max="3841" width="5.88671875" style="1" customWidth="1"/>
    <col min="3842" max="3842" width="60.44140625" style="1" customWidth="1"/>
    <col min="3843" max="3843" width="9.88671875" style="1" bestFit="1" customWidth="1"/>
    <col min="3844" max="3844" width="12.33203125" style="1" bestFit="1" customWidth="1"/>
    <col min="3845" max="3845" width="0" style="1" hidden="1" customWidth="1"/>
    <col min="3846" max="3846" width="16" style="1" customWidth="1"/>
    <col min="3847" max="3847" width="18.109375" style="1" customWidth="1"/>
    <col min="3848" max="3848" width="18.33203125" style="1" bestFit="1" customWidth="1"/>
    <col min="3849" max="3849" width="9.109375" style="1"/>
    <col min="3850" max="3851" width="21.6640625" style="1" bestFit="1" customWidth="1"/>
    <col min="3852" max="3852" width="18.6640625" style="1" bestFit="1" customWidth="1"/>
    <col min="3853" max="4096" width="9.109375" style="1"/>
    <col min="4097" max="4097" width="5.88671875" style="1" customWidth="1"/>
    <col min="4098" max="4098" width="60.44140625" style="1" customWidth="1"/>
    <col min="4099" max="4099" width="9.88671875" style="1" bestFit="1" customWidth="1"/>
    <col min="4100" max="4100" width="12.33203125" style="1" bestFit="1" customWidth="1"/>
    <col min="4101" max="4101" width="0" style="1" hidden="1" customWidth="1"/>
    <col min="4102" max="4102" width="16" style="1" customWidth="1"/>
    <col min="4103" max="4103" width="18.109375" style="1" customWidth="1"/>
    <col min="4104" max="4104" width="18.33203125" style="1" bestFit="1" customWidth="1"/>
    <col min="4105" max="4105" width="9.109375" style="1"/>
    <col min="4106" max="4107" width="21.6640625" style="1" bestFit="1" customWidth="1"/>
    <col min="4108" max="4108" width="18.6640625" style="1" bestFit="1" customWidth="1"/>
    <col min="4109" max="4352" width="9.109375" style="1"/>
    <col min="4353" max="4353" width="5.88671875" style="1" customWidth="1"/>
    <col min="4354" max="4354" width="60.44140625" style="1" customWidth="1"/>
    <col min="4355" max="4355" width="9.88671875" style="1" bestFit="1" customWidth="1"/>
    <col min="4356" max="4356" width="12.33203125" style="1" bestFit="1" customWidth="1"/>
    <col min="4357" max="4357" width="0" style="1" hidden="1" customWidth="1"/>
    <col min="4358" max="4358" width="16" style="1" customWidth="1"/>
    <col min="4359" max="4359" width="18.109375" style="1" customWidth="1"/>
    <col min="4360" max="4360" width="18.33203125" style="1" bestFit="1" customWidth="1"/>
    <col min="4361" max="4361" width="9.109375" style="1"/>
    <col min="4362" max="4363" width="21.6640625" style="1" bestFit="1" customWidth="1"/>
    <col min="4364" max="4364" width="18.6640625" style="1" bestFit="1" customWidth="1"/>
    <col min="4365" max="4608" width="9.109375" style="1"/>
    <col min="4609" max="4609" width="5.88671875" style="1" customWidth="1"/>
    <col min="4610" max="4610" width="60.44140625" style="1" customWidth="1"/>
    <col min="4611" max="4611" width="9.88671875" style="1" bestFit="1" customWidth="1"/>
    <col min="4612" max="4612" width="12.33203125" style="1" bestFit="1" customWidth="1"/>
    <col min="4613" max="4613" width="0" style="1" hidden="1" customWidth="1"/>
    <col min="4614" max="4614" width="16" style="1" customWidth="1"/>
    <col min="4615" max="4615" width="18.109375" style="1" customWidth="1"/>
    <col min="4616" max="4616" width="18.33203125" style="1" bestFit="1" customWidth="1"/>
    <col min="4617" max="4617" width="9.109375" style="1"/>
    <col min="4618" max="4619" width="21.6640625" style="1" bestFit="1" customWidth="1"/>
    <col min="4620" max="4620" width="18.6640625" style="1" bestFit="1" customWidth="1"/>
    <col min="4621" max="4864" width="9.109375" style="1"/>
    <col min="4865" max="4865" width="5.88671875" style="1" customWidth="1"/>
    <col min="4866" max="4866" width="60.44140625" style="1" customWidth="1"/>
    <col min="4867" max="4867" width="9.88671875" style="1" bestFit="1" customWidth="1"/>
    <col min="4868" max="4868" width="12.33203125" style="1" bestFit="1" customWidth="1"/>
    <col min="4869" max="4869" width="0" style="1" hidden="1" customWidth="1"/>
    <col min="4870" max="4870" width="16" style="1" customWidth="1"/>
    <col min="4871" max="4871" width="18.109375" style="1" customWidth="1"/>
    <col min="4872" max="4872" width="18.33203125" style="1" bestFit="1" customWidth="1"/>
    <col min="4873" max="4873" width="9.109375" style="1"/>
    <col min="4874" max="4875" width="21.6640625" style="1" bestFit="1" customWidth="1"/>
    <col min="4876" max="4876" width="18.6640625" style="1" bestFit="1" customWidth="1"/>
    <col min="4877" max="5120" width="9.109375" style="1"/>
    <col min="5121" max="5121" width="5.88671875" style="1" customWidth="1"/>
    <col min="5122" max="5122" width="60.44140625" style="1" customWidth="1"/>
    <col min="5123" max="5123" width="9.88671875" style="1" bestFit="1" customWidth="1"/>
    <col min="5124" max="5124" width="12.33203125" style="1" bestFit="1" customWidth="1"/>
    <col min="5125" max="5125" width="0" style="1" hidden="1" customWidth="1"/>
    <col min="5126" max="5126" width="16" style="1" customWidth="1"/>
    <col min="5127" max="5127" width="18.109375" style="1" customWidth="1"/>
    <col min="5128" max="5128" width="18.33203125" style="1" bestFit="1" customWidth="1"/>
    <col min="5129" max="5129" width="9.109375" style="1"/>
    <col min="5130" max="5131" width="21.6640625" style="1" bestFit="1" customWidth="1"/>
    <col min="5132" max="5132" width="18.6640625" style="1" bestFit="1" customWidth="1"/>
    <col min="5133" max="5376" width="9.109375" style="1"/>
    <col min="5377" max="5377" width="5.88671875" style="1" customWidth="1"/>
    <col min="5378" max="5378" width="60.44140625" style="1" customWidth="1"/>
    <col min="5379" max="5379" width="9.88671875" style="1" bestFit="1" customWidth="1"/>
    <col min="5380" max="5380" width="12.33203125" style="1" bestFit="1" customWidth="1"/>
    <col min="5381" max="5381" width="0" style="1" hidden="1" customWidth="1"/>
    <col min="5382" max="5382" width="16" style="1" customWidth="1"/>
    <col min="5383" max="5383" width="18.109375" style="1" customWidth="1"/>
    <col min="5384" max="5384" width="18.33203125" style="1" bestFit="1" customWidth="1"/>
    <col min="5385" max="5385" width="9.109375" style="1"/>
    <col min="5386" max="5387" width="21.6640625" style="1" bestFit="1" customWidth="1"/>
    <col min="5388" max="5388" width="18.6640625" style="1" bestFit="1" customWidth="1"/>
    <col min="5389" max="5632" width="9.109375" style="1"/>
    <col min="5633" max="5633" width="5.88671875" style="1" customWidth="1"/>
    <col min="5634" max="5634" width="60.44140625" style="1" customWidth="1"/>
    <col min="5635" max="5635" width="9.88671875" style="1" bestFit="1" customWidth="1"/>
    <col min="5636" max="5636" width="12.33203125" style="1" bestFit="1" customWidth="1"/>
    <col min="5637" max="5637" width="0" style="1" hidden="1" customWidth="1"/>
    <col min="5638" max="5638" width="16" style="1" customWidth="1"/>
    <col min="5639" max="5639" width="18.109375" style="1" customWidth="1"/>
    <col min="5640" max="5640" width="18.33203125" style="1" bestFit="1" customWidth="1"/>
    <col min="5641" max="5641" width="9.109375" style="1"/>
    <col min="5642" max="5643" width="21.6640625" style="1" bestFit="1" customWidth="1"/>
    <col min="5644" max="5644" width="18.6640625" style="1" bestFit="1" customWidth="1"/>
    <col min="5645" max="5888" width="9.109375" style="1"/>
    <col min="5889" max="5889" width="5.88671875" style="1" customWidth="1"/>
    <col min="5890" max="5890" width="60.44140625" style="1" customWidth="1"/>
    <col min="5891" max="5891" width="9.88671875" style="1" bestFit="1" customWidth="1"/>
    <col min="5892" max="5892" width="12.33203125" style="1" bestFit="1" customWidth="1"/>
    <col min="5893" max="5893" width="0" style="1" hidden="1" customWidth="1"/>
    <col min="5894" max="5894" width="16" style="1" customWidth="1"/>
    <col min="5895" max="5895" width="18.109375" style="1" customWidth="1"/>
    <col min="5896" max="5896" width="18.33203125" style="1" bestFit="1" customWidth="1"/>
    <col min="5897" max="5897" width="9.109375" style="1"/>
    <col min="5898" max="5899" width="21.6640625" style="1" bestFit="1" customWidth="1"/>
    <col min="5900" max="5900" width="18.6640625" style="1" bestFit="1" customWidth="1"/>
    <col min="5901" max="6144" width="9.109375" style="1"/>
    <col min="6145" max="6145" width="5.88671875" style="1" customWidth="1"/>
    <col min="6146" max="6146" width="60.44140625" style="1" customWidth="1"/>
    <col min="6147" max="6147" width="9.88671875" style="1" bestFit="1" customWidth="1"/>
    <col min="6148" max="6148" width="12.33203125" style="1" bestFit="1" customWidth="1"/>
    <col min="6149" max="6149" width="0" style="1" hidden="1" customWidth="1"/>
    <col min="6150" max="6150" width="16" style="1" customWidth="1"/>
    <col min="6151" max="6151" width="18.109375" style="1" customWidth="1"/>
    <col min="6152" max="6152" width="18.33203125" style="1" bestFit="1" customWidth="1"/>
    <col min="6153" max="6153" width="9.109375" style="1"/>
    <col min="6154" max="6155" width="21.6640625" style="1" bestFit="1" customWidth="1"/>
    <col min="6156" max="6156" width="18.6640625" style="1" bestFit="1" customWidth="1"/>
    <col min="6157" max="6400" width="9.109375" style="1"/>
    <col min="6401" max="6401" width="5.88671875" style="1" customWidth="1"/>
    <col min="6402" max="6402" width="60.44140625" style="1" customWidth="1"/>
    <col min="6403" max="6403" width="9.88671875" style="1" bestFit="1" customWidth="1"/>
    <col min="6404" max="6404" width="12.33203125" style="1" bestFit="1" customWidth="1"/>
    <col min="6405" max="6405" width="0" style="1" hidden="1" customWidth="1"/>
    <col min="6406" max="6406" width="16" style="1" customWidth="1"/>
    <col min="6407" max="6407" width="18.109375" style="1" customWidth="1"/>
    <col min="6408" max="6408" width="18.33203125" style="1" bestFit="1" customWidth="1"/>
    <col min="6409" max="6409" width="9.109375" style="1"/>
    <col min="6410" max="6411" width="21.6640625" style="1" bestFit="1" customWidth="1"/>
    <col min="6412" max="6412" width="18.6640625" style="1" bestFit="1" customWidth="1"/>
    <col min="6413" max="6656" width="9.109375" style="1"/>
    <col min="6657" max="6657" width="5.88671875" style="1" customWidth="1"/>
    <col min="6658" max="6658" width="60.44140625" style="1" customWidth="1"/>
    <col min="6659" max="6659" width="9.88671875" style="1" bestFit="1" customWidth="1"/>
    <col min="6660" max="6660" width="12.33203125" style="1" bestFit="1" customWidth="1"/>
    <col min="6661" max="6661" width="0" style="1" hidden="1" customWidth="1"/>
    <col min="6662" max="6662" width="16" style="1" customWidth="1"/>
    <col min="6663" max="6663" width="18.109375" style="1" customWidth="1"/>
    <col min="6664" max="6664" width="18.33203125" style="1" bestFit="1" customWidth="1"/>
    <col min="6665" max="6665" width="9.109375" style="1"/>
    <col min="6666" max="6667" width="21.6640625" style="1" bestFit="1" customWidth="1"/>
    <col min="6668" max="6668" width="18.6640625" style="1" bestFit="1" customWidth="1"/>
    <col min="6669" max="6912" width="9.109375" style="1"/>
    <col min="6913" max="6913" width="5.88671875" style="1" customWidth="1"/>
    <col min="6914" max="6914" width="60.44140625" style="1" customWidth="1"/>
    <col min="6915" max="6915" width="9.88671875" style="1" bestFit="1" customWidth="1"/>
    <col min="6916" max="6916" width="12.33203125" style="1" bestFit="1" customWidth="1"/>
    <col min="6917" max="6917" width="0" style="1" hidden="1" customWidth="1"/>
    <col min="6918" max="6918" width="16" style="1" customWidth="1"/>
    <col min="6919" max="6919" width="18.109375" style="1" customWidth="1"/>
    <col min="6920" max="6920" width="18.33203125" style="1" bestFit="1" customWidth="1"/>
    <col min="6921" max="6921" width="9.109375" style="1"/>
    <col min="6922" max="6923" width="21.6640625" style="1" bestFit="1" customWidth="1"/>
    <col min="6924" max="6924" width="18.6640625" style="1" bestFit="1" customWidth="1"/>
    <col min="6925" max="7168" width="9.109375" style="1"/>
    <col min="7169" max="7169" width="5.88671875" style="1" customWidth="1"/>
    <col min="7170" max="7170" width="60.44140625" style="1" customWidth="1"/>
    <col min="7171" max="7171" width="9.88671875" style="1" bestFit="1" customWidth="1"/>
    <col min="7172" max="7172" width="12.33203125" style="1" bestFit="1" customWidth="1"/>
    <col min="7173" max="7173" width="0" style="1" hidden="1" customWidth="1"/>
    <col min="7174" max="7174" width="16" style="1" customWidth="1"/>
    <col min="7175" max="7175" width="18.109375" style="1" customWidth="1"/>
    <col min="7176" max="7176" width="18.33203125" style="1" bestFit="1" customWidth="1"/>
    <col min="7177" max="7177" width="9.109375" style="1"/>
    <col min="7178" max="7179" width="21.6640625" style="1" bestFit="1" customWidth="1"/>
    <col min="7180" max="7180" width="18.6640625" style="1" bestFit="1" customWidth="1"/>
    <col min="7181" max="7424" width="9.109375" style="1"/>
    <col min="7425" max="7425" width="5.88671875" style="1" customWidth="1"/>
    <col min="7426" max="7426" width="60.44140625" style="1" customWidth="1"/>
    <col min="7427" max="7427" width="9.88671875" style="1" bestFit="1" customWidth="1"/>
    <col min="7428" max="7428" width="12.33203125" style="1" bestFit="1" customWidth="1"/>
    <col min="7429" max="7429" width="0" style="1" hidden="1" customWidth="1"/>
    <col min="7430" max="7430" width="16" style="1" customWidth="1"/>
    <col min="7431" max="7431" width="18.109375" style="1" customWidth="1"/>
    <col min="7432" max="7432" width="18.33203125" style="1" bestFit="1" customWidth="1"/>
    <col min="7433" max="7433" width="9.109375" style="1"/>
    <col min="7434" max="7435" width="21.6640625" style="1" bestFit="1" customWidth="1"/>
    <col min="7436" max="7436" width="18.6640625" style="1" bestFit="1" customWidth="1"/>
    <col min="7437" max="7680" width="9.109375" style="1"/>
    <col min="7681" max="7681" width="5.88671875" style="1" customWidth="1"/>
    <col min="7682" max="7682" width="60.44140625" style="1" customWidth="1"/>
    <col min="7683" max="7683" width="9.88671875" style="1" bestFit="1" customWidth="1"/>
    <col min="7684" max="7684" width="12.33203125" style="1" bestFit="1" customWidth="1"/>
    <col min="7685" max="7685" width="0" style="1" hidden="1" customWidth="1"/>
    <col min="7686" max="7686" width="16" style="1" customWidth="1"/>
    <col min="7687" max="7687" width="18.109375" style="1" customWidth="1"/>
    <col min="7688" max="7688" width="18.33203125" style="1" bestFit="1" customWidth="1"/>
    <col min="7689" max="7689" width="9.109375" style="1"/>
    <col min="7690" max="7691" width="21.6640625" style="1" bestFit="1" customWidth="1"/>
    <col min="7692" max="7692" width="18.6640625" style="1" bestFit="1" customWidth="1"/>
    <col min="7693" max="7936" width="9.109375" style="1"/>
    <col min="7937" max="7937" width="5.88671875" style="1" customWidth="1"/>
    <col min="7938" max="7938" width="60.44140625" style="1" customWidth="1"/>
    <col min="7939" max="7939" width="9.88671875" style="1" bestFit="1" customWidth="1"/>
    <col min="7940" max="7940" width="12.33203125" style="1" bestFit="1" customWidth="1"/>
    <col min="7941" max="7941" width="0" style="1" hidden="1" customWidth="1"/>
    <col min="7942" max="7942" width="16" style="1" customWidth="1"/>
    <col min="7943" max="7943" width="18.109375" style="1" customWidth="1"/>
    <col min="7944" max="7944" width="18.33203125" style="1" bestFit="1" customWidth="1"/>
    <col min="7945" max="7945" width="9.109375" style="1"/>
    <col min="7946" max="7947" width="21.6640625" style="1" bestFit="1" customWidth="1"/>
    <col min="7948" max="7948" width="18.6640625" style="1" bestFit="1" customWidth="1"/>
    <col min="7949" max="8192" width="9.109375" style="1"/>
    <col min="8193" max="8193" width="5.88671875" style="1" customWidth="1"/>
    <col min="8194" max="8194" width="60.44140625" style="1" customWidth="1"/>
    <col min="8195" max="8195" width="9.88671875" style="1" bestFit="1" customWidth="1"/>
    <col min="8196" max="8196" width="12.33203125" style="1" bestFit="1" customWidth="1"/>
    <col min="8197" max="8197" width="0" style="1" hidden="1" customWidth="1"/>
    <col min="8198" max="8198" width="16" style="1" customWidth="1"/>
    <col min="8199" max="8199" width="18.109375" style="1" customWidth="1"/>
    <col min="8200" max="8200" width="18.33203125" style="1" bestFit="1" customWidth="1"/>
    <col min="8201" max="8201" width="9.109375" style="1"/>
    <col min="8202" max="8203" width="21.6640625" style="1" bestFit="1" customWidth="1"/>
    <col min="8204" max="8204" width="18.6640625" style="1" bestFit="1" customWidth="1"/>
    <col min="8205" max="8448" width="9.109375" style="1"/>
    <col min="8449" max="8449" width="5.88671875" style="1" customWidth="1"/>
    <col min="8450" max="8450" width="60.44140625" style="1" customWidth="1"/>
    <col min="8451" max="8451" width="9.88671875" style="1" bestFit="1" customWidth="1"/>
    <col min="8452" max="8452" width="12.33203125" style="1" bestFit="1" customWidth="1"/>
    <col min="8453" max="8453" width="0" style="1" hidden="1" customWidth="1"/>
    <col min="8454" max="8454" width="16" style="1" customWidth="1"/>
    <col min="8455" max="8455" width="18.109375" style="1" customWidth="1"/>
    <col min="8456" max="8456" width="18.33203125" style="1" bestFit="1" customWidth="1"/>
    <col min="8457" max="8457" width="9.109375" style="1"/>
    <col min="8458" max="8459" width="21.6640625" style="1" bestFit="1" customWidth="1"/>
    <col min="8460" max="8460" width="18.6640625" style="1" bestFit="1" customWidth="1"/>
    <col min="8461" max="8704" width="9.109375" style="1"/>
    <col min="8705" max="8705" width="5.88671875" style="1" customWidth="1"/>
    <col min="8706" max="8706" width="60.44140625" style="1" customWidth="1"/>
    <col min="8707" max="8707" width="9.88671875" style="1" bestFit="1" customWidth="1"/>
    <col min="8708" max="8708" width="12.33203125" style="1" bestFit="1" customWidth="1"/>
    <col min="8709" max="8709" width="0" style="1" hidden="1" customWidth="1"/>
    <col min="8710" max="8710" width="16" style="1" customWidth="1"/>
    <col min="8711" max="8711" width="18.109375" style="1" customWidth="1"/>
    <col min="8712" max="8712" width="18.33203125" style="1" bestFit="1" customWidth="1"/>
    <col min="8713" max="8713" width="9.109375" style="1"/>
    <col min="8714" max="8715" width="21.6640625" style="1" bestFit="1" customWidth="1"/>
    <col min="8716" max="8716" width="18.6640625" style="1" bestFit="1" customWidth="1"/>
    <col min="8717" max="8960" width="9.109375" style="1"/>
    <col min="8961" max="8961" width="5.88671875" style="1" customWidth="1"/>
    <col min="8962" max="8962" width="60.44140625" style="1" customWidth="1"/>
    <col min="8963" max="8963" width="9.88671875" style="1" bestFit="1" customWidth="1"/>
    <col min="8964" max="8964" width="12.33203125" style="1" bestFit="1" customWidth="1"/>
    <col min="8965" max="8965" width="0" style="1" hidden="1" customWidth="1"/>
    <col min="8966" max="8966" width="16" style="1" customWidth="1"/>
    <col min="8967" max="8967" width="18.109375" style="1" customWidth="1"/>
    <col min="8968" max="8968" width="18.33203125" style="1" bestFit="1" customWidth="1"/>
    <col min="8969" max="8969" width="9.109375" style="1"/>
    <col min="8970" max="8971" width="21.6640625" style="1" bestFit="1" customWidth="1"/>
    <col min="8972" max="8972" width="18.6640625" style="1" bestFit="1" customWidth="1"/>
    <col min="8973" max="9216" width="9.109375" style="1"/>
    <col min="9217" max="9217" width="5.88671875" style="1" customWidth="1"/>
    <col min="9218" max="9218" width="60.44140625" style="1" customWidth="1"/>
    <col min="9219" max="9219" width="9.88671875" style="1" bestFit="1" customWidth="1"/>
    <col min="9220" max="9220" width="12.33203125" style="1" bestFit="1" customWidth="1"/>
    <col min="9221" max="9221" width="0" style="1" hidden="1" customWidth="1"/>
    <col min="9222" max="9222" width="16" style="1" customWidth="1"/>
    <col min="9223" max="9223" width="18.109375" style="1" customWidth="1"/>
    <col min="9224" max="9224" width="18.33203125" style="1" bestFit="1" customWidth="1"/>
    <col min="9225" max="9225" width="9.109375" style="1"/>
    <col min="9226" max="9227" width="21.6640625" style="1" bestFit="1" customWidth="1"/>
    <col min="9228" max="9228" width="18.6640625" style="1" bestFit="1" customWidth="1"/>
    <col min="9229" max="9472" width="9.109375" style="1"/>
    <col min="9473" max="9473" width="5.88671875" style="1" customWidth="1"/>
    <col min="9474" max="9474" width="60.44140625" style="1" customWidth="1"/>
    <col min="9475" max="9475" width="9.88671875" style="1" bestFit="1" customWidth="1"/>
    <col min="9476" max="9476" width="12.33203125" style="1" bestFit="1" customWidth="1"/>
    <col min="9477" max="9477" width="0" style="1" hidden="1" customWidth="1"/>
    <col min="9478" max="9478" width="16" style="1" customWidth="1"/>
    <col min="9479" max="9479" width="18.109375" style="1" customWidth="1"/>
    <col min="9480" max="9480" width="18.33203125" style="1" bestFit="1" customWidth="1"/>
    <col min="9481" max="9481" width="9.109375" style="1"/>
    <col min="9482" max="9483" width="21.6640625" style="1" bestFit="1" customWidth="1"/>
    <col min="9484" max="9484" width="18.6640625" style="1" bestFit="1" customWidth="1"/>
    <col min="9485" max="9728" width="9.109375" style="1"/>
    <col min="9729" max="9729" width="5.88671875" style="1" customWidth="1"/>
    <col min="9730" max="9730" width="60.44140625" style="1" customWidth="1"/>
    <col min="9731" max="9731" width="9.88671875" style="1" bestFit="1" customWidth="1"/>
    <col min="9732" max="9732" width="12.33203125" style="1" bestFit="1" customWidth="1"/>
    <col min="9733" max="9733" width="0" style="1" hidden="1" customWidth="1"/>
    <col min="9734" max="9734" width="16" style="1" customWidth="1"/>
    <col min="9735" max="9735" width="18.109375" style="1" customWidth="1"/>
    <col min="9736" max="9736" width="18.33203125" style="1" bestFit="1" customWidth="1"/>
    <col min="9737" max="9737" width="9.109375" style="1"/>
    <col min="9738" max="9739" width="21.6640625" style="1" bestFit="1" customWidth="1"/>
    <col min="9740" max="9740" width="18.6640625" style="1" bestFit="1" customWidth="1"/>
    <col min="9741" max="9984" width="9.109375" style="1"/>
    <col min="9985" max="9985" width="5.88671875" style="1" customWidth="1"/>
    <col min="9986" max="9986" width="60.44140625" style="1" customWidth="1"/>
    <col min="9987" max="9987" width="9.88671875" style="1" bestFit="1" customWidth="1"/>
    <col min="9988" max="9988" width="12.33203125" style="1" bestFit="1" customWidth="1"/>
    <col min="9989" max="9989" width="0" style="1" hidden="1" customWidth="1"/>
    <col min="9990" max="9990" width="16" style="1" customWidth="1"/>
    <col min="9991" max="9991" width="18.109375" style="1" customWidth="1"/>
    <col min="9992" max="9992" width="18.33203125" style="1" bestFit="1" customWidth="1"/>
    <col min="9993" max="9993" width="9.109375" style="1"/>
    <col min="9994" max="9995" width="21.6640625" style="1" bestFit="1" customWidth="1"/>
    <col min="9996" max="9996" width="18.6640625" style="1" bestFit="1" customWidth="1"/>
    <col min="9997" max="10240" width="9.109375" style="1"/>
    <col min="10241" max="10241" width="5.88671875" style="1" customWidth="1"/>
    <col min="10242" max="10242" width="60.44140625" style="1" customWidth="1"/>
    <col min="10243" max="10243" width="9.88671875" style="1" bestFit="1" customWidth="1"/>
    <col min="10244" max="10244" width="12.33203125" style="1" bestFit="1" customWidth="1"/>
    <col min="10245" max="10245" width="0" style="1" hidden="1" customWidth="1"/>
    <col min="10246" max="10246" width="16" style="1" customWidth="1"/>
    <col min="10247" max="10247" width="18.109375" style="1" customWidth="1"/>
    <col min="10248" max="10248" width="18.33203125" style="1" bestFit="1" customWidth="1"/>
    <col min="10249" max="10249" width="9.109375" style="1"/>
    <col min="10250" max="10251" width="21.6640625" style="1" bestFit="1" customWidth="1"/>
    <col min="10252" max="10252" width="18.6640625" style="1" bestFit="1" customWidth="1"/>
    <col min="10253" max="10496" width="9.109375" style="1"/>
    <col min="10497" max="10497" width="5.88671875" style="1" customWidth="1"/>
    <col min="10498" max="10498" width="60.44140625" style="1" customWidth="1"/>
    <col min="10499" max="10499" width="9.88671875" style="1" bestFit="1" customWidth="1"/>
    <col min="10500" max="10500" width="12.33203125" style="1" bestFit="1" customWidth="1"/>
    <col min="10501" max="10501" width="0" style="1" hidden="1" customWidth="1"/>
    <col min="10502" max="10502" width="16" style="1" customWidth="1"/>
    <col min="10503" max="10503" width="18.109375" style="1" customWidth="1"/>
    <col min="10504" max="10504" width="18.33203125" style="1" bestFit="1" customWidth="1"/>
    <col min="10505" max="10505" width="9.109375" style="1"/>
    <col min="10506" max="10507" width="21.6640625" style="1" bestFit="1" customWidth="1"/>
    <col min="10508" max="10508" width="18.6640625" style="1" bestFit="1" customWidth="1"/>
    <col min="10509" max="10752" width="9.109375" style="1"/>
    <col min="10753" max="10753" width="5.88671875" style="1" customWidth="1"/>
    <col min="10754" max="10754" width="60.44140625" style="1" customWidth="1"/>
    <col min="10755" max="10755" width="9.88671875" style="1" bestFit="1" customWidth="1"/>
    <col min="10756" max="10756" width="12.33203125" style="1" bestFit="1" customWidth="1"/>
    <col min="10757" max="10757" width="0" style="1" hidden="1" customWidth="1"/>
    <col min="10758" max="10758" width="16" style="1" customWidth="1"/>
    <col min="10759" max="10759" width="18.109375" style="1" customWidth="1"/>
    <col min="10760" max="10760" width="18.33203125" style="1" bestFit="1" customWidth="1"/>
    <col min="10761" max="10761" width="9.109375" style="1"/>
    <col min="10762" max="10763" width="21.6640625" style="1" bestFit="1" customWidth="1"/>
    <col min="10764" max="10764" width="18.6640625" style="1" bestFit="1" customWidth="1"/>
    <col min="10765" max="11008" width="9.109375" style="1"/>
    <col min="11009" max="11009" width="5.88671875" style="1" customWidth="1"/>
    <col min="11010" max="11010" width="60.44140625" style="1" customWidth="1"/>
    <col min="11011" max="11011" width="9.88671875" style="1" bestFit="1" customWidth="1"/>
    <col min="11012" max="11012" width="12.33203125" style="1" bestFit="1" customWidth="1"/>
    <col min="11013" max="11013" width="0" style="1" hidden="1" customWidth="1"/>
    <col min="11014" max="11014" width="16" style="1" customWidth="1"/>
    <col min="11015" max="11015" width="18.109375" style="1" customWidth="1"/>
    <col min="11016" max="11016" width="18.33203125" style="1" bestFit="1" customWidth="1"/>
    <col min="11017" max="11017" width="9.109375" style="1"/>
    <col min="11018" max="11019" width="21.6640625" style="1" bestFit="1" customWidth="1"/>
    <col min="11020" max="11020" width="18.6640625" style="1" bestFit="1" customWidth="1"/>
    <col min="11021" max="11264" width="9.109375" style="1"/>
    <col min="11265" max="11265" width="5.88671875" style="1" customWidth="1"/>
    <col min="11266" max="11266" width="60.44140625" style="1" customWidth="1"/>
    <col min="11267" max="11267" width="9.88671875" style="1" bestFit="1" customWidth="1"/>
    <col min="11268" max="11268" width="12.33203125" style="1" bestFit="1" customWidth="1"/>
    <col min="11269" max="11269" width="0" style="1" hidden="1" customWidth="1"/>
    <col min="11270" max="11270" width="16" style="1" customWidth="1"/>
    <col min="11271" max="11271" width="18.109375" style="1" customWidth="1"/>
    <col min="11272" max="11272" width="18.33203125" style="1" bestFit="1" customWidth="1"/>
    <col min="11273" max="11273" width="9.109375" style="1"/>
    <col min="11274" max="11275" width="21.6640625" style="1" bestFit="1" customWidth="1"/>
    <col min="11276" max="11276" width="18.6640625" style="1" bestFit="1" customWidth="1"/>
    <col min="11277" max="11520" width="9.109375" style="1"/>
    <col min="11521" max="11521" width="5.88671875" style="1" customWidth="1"/>
    <col min="11522" max="11522" width="60.44140625" style="1" customWidth="1"/>
    <col min="11523" max="11523" width="9.88671875" style="1" bestFit="1" customWidth="1"/>
    <col min="11524" max="11524" width="12.33203125" style="1" bestFit="1" customWidth="1"/>
    <col min="11525" max="11525" width="0" style="1" hidden="1" customWidth="1"/>
    <col min="11526" max="11526" width="16" style="1" customWidth="1"/>
    <col min="11527" max="11527" width="18.109375" style="1" customWidth="1"/>
    <col min="11528" max="11528" width="18.33203125" style="1" bestFit="1" customWidth="1"/>
    <col min="11529" max="11529" width="9.109375" style="1"/>
    <col min="11530" max="11531" width="21.6640625" style="1" bestFit="1" customWidth="1"/>
    <col min="11532" max="11532" width="18.6640625" style="1" bestFit="1" customWidth="1"/>
    <col min="11533" max="11776" width="9.109375" style="1"/>
    <col min="11777" max="11777" width="5.88671875" style="1" customWidth="1"/>
    <col min="11778" max="11778" width="60.44140625" style="1" customWidth="1"/>
    <col min="11779" max="11779" width="9.88671875" style="1" bestFit="1" customWidth="1"/>
    <col min="11780" max="11780" width="12.33203125" style="1" bestFit="1" customWidth="1"/>
    <col min="11781" max="11781" width="0" style="1" hidden="1" customWidth="1"/>
    <col min="11782" max="11782" width="16" style="1" customWidth="1"/>
    <col min="11783" max="11783" width="18.109375" style="1" customWidth="1"/>
    <col min="11784" max="11784" width="18.33203125" style="1" bestFit="1" customWidth="1"/>
    <col min="11785" max="11785" width="9.109375" style="1"/>
    <col min="11786" max="11787" width="21.6640625" style="1" bestFit="1" customWidth="1"/>
    <col min="11788" max="11788" width="18.6640625" style="1" bestFit="1" customWidth="1"/>
    <col min="11789" max="12032" width="9.109375" style="1"/>
    <col min="12033" max="12033" width="5.88671875" style="1" customWidth="1"/>
    <col min="12034" max="12034" width="60.44140625" style="1" customWidth="1"/>
    <col min="12035" max="12035" width="9.88671875" style="1" bestFit="1" customWidth="1"/>
    <col min="12036" max="12036" width="12.33203125" style="1" bestFit="1" customWidth="1"/>
    <col min="12037" max="12037" width="0" style="1" hidden="1" customWidth="1"/>
    <col min="12038" max="12038" width="16" style="1" customWidth="1"/>
    <col min="12039" max="12039" width="18.109375" style="1" customWidth="1"/>
    <col min="12040" max="12040" width="18.33203125" style="1" bestFit="1" customWidth="1"/>
    <col min="12041" max="12041" width="9.109375" style="1"/>
    <col min="12042" max="12043" width="21.6640625" style="1" bestFit="1" customWidth="1"/>
    <col min="12044" max="12044" width="18.6640625" style="1" bestFit="1" customWidth="1"/>
    <col min="12045" max="12288" width="9.109375" style="1"/>
    <col min="12289" max="12289" width="5.88671875" style="1" customWidth="1"/>
    <col min="12290" max="12290" width="60.44140625" style="1" customWidth="1"/>
    <col min="12291" max="12291" width="9.88671875" style="1" bestFit="1" customWidth="1"/>
    <col min="12292" max="12292" width="12.33203125" style="1" bestFit="1" customWidth="1"/>
    <col min="12293" max="12293" width="0" style="1" hidden="1" customWidth="1"/>
    <col min="12294" max="12294" width="16" style="1" customWidth="1"/>
    <col min="12295" max="12295" width="18.109375" style="1" customWidth="1"/>
    <col min="12296" max="12296" width="18.33203125" style="1" bestFit="1" customWidth="1"/>
    <col min="12297" max="12297" width="9.109375" style="1"/>
    <col min="12298" max="12299" width="21.6640625" style="1" bestFit="1" customWidth="1"/>
    <col min="12300" max="12300" width="18.6640625" style="1" bestFit="1" customWidth="1"/>
    <col min="12301" max="12544" width="9.109375" style="1"/>
    <col min="12545" max="12545" width="5.88671875" style="1" customWidth="1"/>
    <col min="12546" max="12546" width="60.44140625" style="1" customWidth="1"/>
    <col min="12547" max="12547" width="9.88671875" style="1" bestFit="1" customWidth="1"/>
    <col min="12548" max="12548" width="12.33203125" style="1" bestFit="1" customWidth="1"/>
    <col min="12549" max="12549" width="0" style="1" hidden="1" customWidth="1"/>
    <col min="12550" max="12550" width="16" style="1" customWidth="1"/>
    <col min="12551" max="12551" width="18.109375" style="1" customWidth="1"/>
    <col min="12552" max="12552" width="18.33203125" style="1" bestFit="1" customWidth="1"/>
    <col min="12553" max="12553" width="9.109375" style="1"/>
    <col min="12554" max="12555" width="21.6640625" style="1" bestFit="1" customWidth="1"/>
    <col min="12556" max="12556" width="18.6640625" style="1" bestFit="1" customWidth="1"/>
    <col min="12557" max="12800" width="9.109375" style="1"/>
    <col min="12801" max="12801" width="5.88671875" style="1" customWidth="1"/>
    <col min="12802" max="12802" width="60.44140625" style="1" customWidth="1"/>
    <col min="12803" max="12803" width="9.88671875" style="1" bestFit="1" customWidth="1"/>
    <col min="12804" max="12804" width="12.33203125" style="1" bestFit="1" customWidth="1"/>
    <col min="12805" max="12805" width="0" style="1" hidden="1" customWidth="1"/>
    <col min="12806" max="12806" width="16" style="1" customWidth="1"/>
    <col min="12807" max="12807" width="18.109375" style="1" customWidth="1"/>
    <col min="12808" max="12808" width="18.33203125" style="1" bestFit="1" customWidth="1"/>
    <col min="12809" max="12809" width="9.109375" style="1"/>
    <col min="12810" max="12811" width="21.6640625" style="1" bestFit="1" customWidth="1"/>
    <col min="12812" max="12812" width="18.6640625" style="1" bestFit="1" customWidth="1"/>
    <col min="12813" max="13056" width="9.109375" style="1"/>
    <col min="13057" max="13057" width="5.88671875" style="1" customWidth="1"/>
    <col min="13058" max="13058" width="60.44140625" style="1" customWidth="1"/>
    <col min="13059" max="13059" width="9.88671875" style="1" bestFit="1" customWidth="1"/>
    <col min="13060" max="13060" width="12.33203125" style="1" bestFit="1" customWidth="1"/>
    <col min="13061" max="13061" width="0" style="1" hidden="1" customWidth="1"/>
    <col min="13062" max="13062" width="16" style="1" customWidth="1"/>
    <col min="13063" max="13063" width="18.109375" style="1" customWidth="1"/>
    <col min="13064" max="13064" width="18.33203125" style="1" bestFit="1" customWidth="1"/>
    <col min="13065" max="13065" width="9.109375" style="1"/>
    <col min="13066" max="13067" width="21.6640625" style="1" bestFit="1" customWidth="1"/>
    <col min="13068" max="13068" width="18.6640625" style="1" bestFit="1" customWidth="1"/>
    <col min="13069" max="13312" width="9.109375" style="1"/>
    <col min="13313" max="13313" width="5.88671875" style="1" customWidth="1"/>
    <col min="13314" max="13314" width="60.44140625" style="1" customWidth="1"/>
    <col min="13315" max="13315" width="9.88671875" style="1" bestFit="1" customWidth="1"/>
    <col min="13316" max="13316" width="12.33203125" style="1" bestFit="1" customWidth="1"/>
    <col min="13317" max="13317" width="0" style="1" hidden="1" customWidth="1"/>
    <col min="13318" max="13318" width="16" style="1" customWidth="1"/>
    <col min="13319" max="13319" width="18.109375" style="1" customWidth="1"/>
    <col min="13320" max="13320" width="18.33203125" style="1" bestFit="1" customWidth="1"/>
    <col min="13321" max="13321" width="9.109375" style="1"/>
    <col min="13322" max="13323" width="21.6640625" style="1" bestFit="1" customWidth="1"/>
    <col min="13324" max="13324" width="18.6640625" style="1" bestFit="1" customWidth="1"/>
    <col min="13325" max="13568" width="9.109375" style="1"/>
    <col min="13569" max="13569" width="5.88671875" style="1" customWidth="1"/>
    <col min="13570" max="13570" width="60.44140625" style="1" customWidth="1"/>
    <col min="13571" max="13571" width="9.88671875" style="1" bestFit="1" customWidth="1"/>
    <col min="13572" max="13572" width="12.33203125" style="1" bestFit="1" customWidth="1"/>
    <col min="13573" max="13573" width="0" style="1" hidden="1" customWidth="1"/>
    <col min="13574" max="13574" width="16" style="1" customWidth="1"/>
    <col min="13575" max="13575" width="18.109375" style="1" customWidth="1"/>
    <col min="13576" max="13576" width="18.33203125" style="1" bestFit="1" customWidth="1"/>
    <col min="13577" max="13577" width="9.109375" style="1"/>
    <col min="13578" max="13579" width="21.6640625" style="1" bestFit="1" customWidth="1"/>
    <col min="13580" max="13580" width="18.6640625" style="1" bestFit="1" customWidth="1"/>
    <col min="13581" max="13824" width="9.109375" style="1"/>
    <col min="13825" max="13825" width="5.88671875" style="1" customWidth="1"/>
    <col min="13826" max="13826" width="60.44140625" style="1" customWidth="1"/>
    <col min="13827" max="13827" width="9.88671875" style="1" bestFit="1" customWidth="1"/>
    <col min="13828" max="13828" width="12.33203125" style="1" bestFit="1" customWidth="1"/>
    <col min="13829" max="13829" width="0" style="1" hidden="1" customWidth="1"/>
    <col min="13830" max="13830" width="16" style="1" customWidth="1"/>
    <col min="13831" max="13831" width="18.109375" style="1" customWidth="1"/>
    <col min="13832" max="13832" width="18.33203125" style="1" bestFit="1" customWidth="1"/>
    <col min="13833" max="13833" width="9.109375" style="1"/>
    <col min="13834" max="13835" width="21.6640625" style="1" bestFit="1" customWidth="1"/>
    <col min="13836" max="13836" width="18.6640625" style="1" bestFit="1" customWidth="1"/>
    <col min="13837" max="14080" width="9.109375" style="1"/>
    <col min="14081" max="14081" width="5.88671875" style="1" customWidth="1"/>
    <col min="14082" max="14082" width="60.44140625" style="1" customWidth="1"/>
    <col min="14083" max="14083" width="9.88671875" style="1" bestFit="1" customWidth="1"/>
    <col min="14084" max="14084" width="12.33203125" style="1" bestFit="1" customWidth="1"/>
    <col min="14085" max="14085" width="0" style="1" hidden="1" customWidth="1"/>
    <col min="14086" max="14086" width="16" style="1" customWidth="1"/>
    <col min="14087" max="14087" width="18.109375" style="1" customWidth="1"/>
    <col min="14088" max="14088" width="18.33203125" style="1" bestFit="1" customWidth="1"/>
    <col min="14089" max="14089" width="9.109375" style="1"/>
    <col min="14090" max="14091" width="21.6640625" style="1" bestFit="1" customWidth="1"/>
    <col min="14092" max="14092" width="18.6640625" style="1" bestFit="1" customWidth="1"/>
    <col min="14093" max="14336" width="9.109375" style="1"/>
    <col min="14337" max="14337" width="5.88671875" style="1" customWidth="1"/>
    <col min="14338" max="14338" width="60.44140625" style="1" customWidth="1"/>
    <col min="14339" max="14339" width="9.88671875" style="1" bestFit="1" customWidth="1"/>
    <col min="14340" max="14340" width="12.33203125" style="1" bestFit="1" customWidth="1"/>
    <col min="14341" max="14341" width="0" style="1" hidden="1" customWidth="1"/>
    <col min="14342" max="14342" width="16" style="1" customWidth="1"/>
    <col min="14343" max="14343" width="18.109375" style="1" customWidth="1"/>
    <col min="14344" max="14344" width="18.33203125" style="1" bestFit="1" customWidth="1"/>
    <col min="14345" max="14345" width="9.109375" style="1"/>
    <col min="14346" max="14347" width="21.6640625" style="1" bestFit="1" customWidth="1"/>
    <col min="14348" max="14348" width="18.6640625" style="1" bestFit="1" customWidth="1"/>
    <col min="14349" max="14592" width="9.109375" style="1"/>
    <col min="14593" max="14593" width="5.88671875" style="1" customWidth="1"/>
    <col min="14594" max="14594" width="60.44140625" style="1" customWidth="1"/>
    <col min="14595" max="14595" width="9.88671875" style="1" bestFit="1" customWidth="1"/>
    <col min="14596" max="14596" width="12.33203125" style="1" bestFit="1" customWidth="1"/>
    <col min="14597" max="14597" width="0" style="1" hidden="1" customWidth="1"/>
    <col min="14598" max="14598" width="16" style="1" customWidth="1"/>
    <col min="14599" max="14599" width="18.109375" style="1" customWidth="1"/>
    <col min="14600" max="14600" width="18.33203125" style="1" bestFit="1" customWidth="1"/>
    <col min="14601" max="14601" width="9.109375" style="1"/>
    <col min="14602" max="14603" width="21.6640625" style="1" bestFit="1" customWidth="1"/>
    <col min="14604" max="14604" width="18.6640625" style="1" bestFit="1" customWidth="1"/>
    <col min="14605" max="14848" width="9.109375" style="1"/>
    <col min="14849" max="14849" width="5.88671875" style="1" customWidth="1"/>
    <col min="14850" max="14850" width="60.44140625" style="1" customWidth="1"/>
    <col min="14851" max="14851" width="9.88671875" style="1" bestFit="1" customWidth="1"/>
    <col min="14852" max="14852" width="12.33203125" style="1" bestFit="1" customWidth="1"/>
    <col min="14853" max="14853" width="0" style="1" hidden="1" customWidth="1"/>
    <col min="14854" max="14854" width="16" style="1" customWidth="1"/>
    <col min="14855" max="14855" width="18.109375" style="1" customWidth="1"/>
    <col min="14856" max="14856" width="18.33203125" style="1" bestFit="1" customWidth="1"/>
    <col min="14857" max="14857" width="9.109375" style="1"/>
    <col min="14858" max="14859" width="21.6640625" style="1" bestFit="1" customWidth="1"/>
    <col min="14860" max="14860" width="18.6640625" style="1" bestFit="1" customWidth="1"/>
    <col min="14861" max="15104" width="9.109375" style="1"/>
    <col min="15105" max="15105" width="5.88671875" style="1" customWidth="1"/>
    <col min="15106" max="15106" width="60.44140625" style="1" customWidth="1"/>
    <col min="15107" max="15107" width="9.88671875" style="1" bestFit="1" customWidth="1"/>
    <col min="15108" max="15108" width="12.33203125" style="1" bestFit="1" customWidth="1"/>
    <col min="15109" max="15109" width="0" style="1" hidden="1" customWidth="1"/>
    <col min="15110" max="15110" width="16" style="1" customWidth="1"/>
    <col min="15111" max="15111" width="18.109375" style="1" customWidth="1"/>
    <col min="15112" max="15112" width="18.33203125" style="1" bestFit="1" customWidth="1"/>
    <col min="15113" max="15113" width="9.109375" style="1"/>
    <col min="15114" max="15115" width="21.6640625" style="1" bestFit="1" customWidth="1"/>
    <col min="15116" max="15116" width="18.6640625" style="1" bestFit="1" customWidth="1"/>
    <col min="15117" max="15360" width="9.109375" style="1"/>
    <col min="15361" max="15361" width="5.88671875" style="1" customWidth="1"/>
    <col min="15362" max="15362" width="60.44140625" style="1" customWidth="1"/>
    <col min="15363" max="15363" width="9.88671875" style="1" bestFit="1" customWidth="1"/>
    <col min="15364" max="15364" width="12.33203125" style="1" bestFit="1" customWidth="1"/>
    <col min="15365" max="15365" width="0" style="1" hidden="1" customWidth="1"/>
    <col min="15366" max="15366" width="16" style="1" customWidth="1"/>
    <col min="15367" max="15367" width="18.109375" style="1" customWidth="1"/>
    <col min="15368" max="15368" width="18.33203125" style="1" bestFit="1" customWidth="1"/>
    <col min="15369" max="15369" width="9.109375" style="1"/>
    <col min="15370" max="15371" width="21.6640625" style="1" bestFit="1" customWidth="1"/>
    <col min="15372" max="15372" width="18.6640625" style="1" bestFit="1" customWidth="1"/>
    <col min="15373" max="15616" width="9.109375" style="1"/>
    <col min="15617" max="15617" width="5.88671875" style="1" customWidth="1"/>
    <col min="15618" max="15618" width="60.44140625" style="1" customWidth="1"/>
    <col min="15619" max="15619" width="9.88671875" style="1" bestFit="1" customWidth="1"/>
    <col min="15620" max="15620" width="12.33203125" style="1" bestFit="1" customWidth="1"/>
    <col min="15621" max="15621" width="0" style="1" hidden="1" customWidth="1"/>
    <col min="15622" max="15622" width="16" style="1" customWidth="1"/>
    <col min="15623" max="15623" width="18.109375" style="1" customWidth="1"/>
    <col min="15624" max="15624" width="18.33203125" style="1" bestFit="1" customWidth="1"/>
    <col min="15625" max="15625" width="9.109375" style="1"/>
    <col min="15626" max="15627" width="21.6640625" style="1" bestFit="1" customWidth="1"/>
    <col min="15628" max="15628" width="18.6640625" style="1" bestFit="1" customWidth="1"/>
    <col min="15629" max="15872" width="9.109375" style="1"/>
    <col min="15873" max="15873" width="5.88671875" style="1" customWidth="1"/>
    <col min="15874" max="15874" width="60.44140625" style="1" customWidth="1"/>
    <col min="15875" max="15875" width="9.88671875" style="1" bestFit="1" customWidth="1"/>
    <col min="15876" max="15876" width="12.33203125" style="1" bestFit="1" customWidth="1"/>
    <col min="15877" max="15877" width="0" style="1" hidden="1" customWidth="1"/>
    <col min="15878" max="15878" width="16" style="1" customWidth="1"/>
    <col min="15879" max="15879" width="18.109375" style="1" customWidth="1"/>
    <col min="15880" max="15880" width="18.33203125" style="1" bestFit="1" customWidth="1"/>
    <col min="15881" max="15881" width="9.109375" style="1"/>
    <col min="15882" max="15883" width="21.6640625" style="1" bestFit="1" customWidth="1"/>
    <col min="15884" max="15884" width="18.6640625" style="1" bestFit="1" customWidth="1"/>
    <col min="15885" max="16128" width="9.109375" style="1"/>
    <col min="16129" max="16129" width="5.88671875" style="1" customWidth="1"/>
    <col min="16130" max="16130" width="60.44140625" style="1" customWidth="1"/>
    <col min="16131" max="16131" width="9.88671875" style="1" bestFit="1" customWidth="1"/>
    <col min="16132" max="16132" width="12.33203125" style="1" bestFit="1" customWidth="1"/>
    <col min="16133" max="16133" width="0" style="1" hidden="1" customWidth="1"/>
    <col min="16134" max="16134" width="16" style="1" customWidth="1"/>
    <col min="16135" max="16135" width="18.109375" style="1" customWidth="1"/>
    <col min="16136" max="16136" width="18.33203125" style="1" bestFit="1" customWidth="1"/>
    <col min="16137" max="16137" width="9.109375" style="1"/>
    <col min="16138" max="16139" width="21.6640625" style="1" bestFit="1" customWidth="1"/>
    <col min="16140" max="16140" width="18.6640625" style="1" bestFit="1" customWidth="1"/>
    <col min="16141" max="16384" width="9.109375" style="1"/>
  </cols>
  <sheetData>
    <row r="1" spans="2:26">
      <c r="I1" s="1" t="s">
        <v>0</v>
      </c>
    </row>
    <row r="2" spans="2:26">
      <c r="B2" s="2"/>
      <c r="C2" s="2"/>
      <c r="D2" s="119"/>
      <c r="E2" s="2"/>
      <c r="F2" s="2"/>
      <c r="G2" s="2"/>
      <c r="H2" s="2"/>
      <c r="I2" s="2"/>
      <c r="J2" s="2"/>
      <c r="K2" s="2"/>
      <c r="L2" s="2"/>
      <c r="M2" s="2"/>
    </row>
    <row r="3" spans="2:26" ht="16.2">
      <c r="B3" s="286" t="s">
        <v>107</v>
      </c>
      <c r="C3" s="314"/>
      <c r="D3" s="314"/>
      <c r="E3" s="314"/>
      <c r="F3" s="314"/>
      <c r="G3" s="314"/>
      <c r="H3" s="314"/>
      <c r="I3" s="3"/>
      <c r="J3" s="4"/>
      <c r="K3" s="4"/>
      <c r="L3" s="4"/>
      <c r="M3" s="4"/>
    </row>
    <row r="4" spans="2:26" ht="16.2">
      <c r="B4" s="286" t="s">
        <v>36</v>
      </c>
      <c r="C4" s="286"/>
      <c r="D4" s="286"/>
      <c r="E4" s="286"/>
      <c r="F4" s="286"/>
      <c r="G4" s="286"/>
      <c r="H4" s="286"/>
      <c r="I4" s="4"/>
      <c r="J4" s="4"/>
      <c r="K4" s="4"/>
      <c r="L4" s="4"/>
      <c r="M4" s="4"/>
    </row>
    <row r="5" spans="2:26" ht="16.8" thickBot="1">
      <c r="B5" s="5"/>
      <c r="C5" s="5"/>
      <c r="D5" s="120"/>
      <c r="E5" s="5"/>
      <c r="F5" s="5"/>
      <c r="G5" s="5"/>
      <c r="H5" s="5"/>
      <c r="I5" s="6"/>
      <c r="J5" s="6"/>
      <c r="K5" s="6"/>
      <c r="L5" s="6"/>
      <c r="M5" s="6"/>
    </row>
    <row r="6" spans="2:26" ht="13.5" customHeight="1" thickTop="1">
      <c r="B6" s="274" t="s">
        <v>1</v>
      </c>
      <c r="C6" s="276" t="s">
        <v>2</v>
      </c>
      <c r="D6" s="278" t="s">
        <v>3</v>
      </c>
      <c r="E6" s="276" t="s">
        <v>4</v>
      </c>
      <c r="F6" s="276" t="s">
        <v>5</v>
      </c>
      <c r="G6" s="276" t="s">
        <v>6</v>
      </c>
      <c r="H6" s="262" t="s">
        <v>7</v>
      </c>
      <c r="I6" s="298"/>
      <c r="J6" s="300"/>
      <c r="K6" s="298"/>
      <c r="L6" s="7"/>
      <c r="M6" s="298"/>
    </row>
    <row r="7" spans="2:26" ht="35.25" customHeight="1" thickBot="1">
      <c r="B7" s="275"/>
      <c r="C7" s="287"/>
      <c r="D7" s="279"/>
      <c r="E7" s="277"/>
      <c r="F7" s="277"/>
      <c r="G7" s="277"/>
      <c r="H7" s="263"/>
      <c r="I7" s="299"/>
      <c r="J7" s="300"/>
      <c r="K7" s="298"/>
      <c r="L7" s="7"/>
      <c r="M7" s="298"/>
    </row>
    <row r="8" spans="2:26" ht="16.8" thickTop="1">
      <c r="B8" s="8"/>
      <c r="C8" s="248"/>
      <c r="D8" s="121"/>
      <c r="E8" s="9"/>
      <c r="F8" s="9"/>
      <c r="G8" s="9"/>
      <c r="H8" s="10"/>
      <c r="I8" s="11"/>
      <c r="S8" s="151"/>
      <c r="T8" s="151"/>
      <c r="U8" s="151"/>
      <c r="V8" s="151"/>
      <c r="W8" s="151"/>
      <c r="X8" s="151"/>
      <c r="Y8" s="151"/>
      <c r="Z8" s="151"/>
    </row>
    <row r="9" spans="2:26" ht="21" customHeight="1">
      <c r="B9" s="41"/>
      <c r="C9" s="142" t="s">
        <v>101</v>
      </c>
      <c r="D9" s="123"/>
      <c r="E9" s="31"/>
      <c r="F9" s="31"/>
      <c r="G9" s="32"/>
      <c r="H9" s="33"/>
      <c r="I9" s="21"/>
      <c r="J9" s="22"/>
      <c r="K9" s="35"/>
      <c r="L9" s="36"/>
      <c r="M9" s="25"/>
      <c r="S9" s="150"/>
      <c r="T9" s="150"/>
      <c r="U9" s="150"/>
      <c r="V9" s="150"/>
      <c r="W9" s="150"/>
      <c r="X9" s="150"/>
      <c r="Y9" s="150"/>
      <c r="Z9" s="150"/>
    </row>
    <row r="10" spans="2:26" ht="16.2">
      <c r="B10" s="12" t="s">
        <v>8</v>
      </c>
      <c r="C10" s="13" t="s">
        <v>93</v>
      </c>
      <c r="D10" s="122"/>
      <c r="E10" s="14"/>
      <c r="F10" s="14"/>
      <c r="G10" s="15"/>
      <c r="H10" s="16"/>
      <c r="I10" s="17"/>
      <c r="J10" s="18"/>
      <c r="K10" s="11"/>
      <c r="L10" s="19"/>
      <c r="M10" s="19"/>
      <c r="S10" s="150"/>
      <c r="T10" s="150"/>
      <c r="U10" s="150"/>
      <c r="V10" s="150"/>
      <c r="W10" s="150"/>
      <c r="X10" s="150"/>
      <c r="Y10" s="150"/>
      <c r="Z10" s="150"/>
    </row>
    <row r="11" spans="2:26" s="109" customFormat="1" ht="19.2" customHeight="1">
      <c r="B11" s="110">
        <v>1</v>
      </c>
      <c r="C11" s="111" t="s">
        <v>92</v>
      </c>
      <c r="D11" s="249">
        <v>2</v>
      </c>
      <c r="E11" s="44" t="s">
        <v>28</v>
      </c>
      <c r="F11" s="44" t="s">
        <v>11</v>
      </c>
      <c r="G11" s="45">
        <f>'Breakdown (2)'!Q21</f>
        <v>9565717.7600000016</v>
      </c>
      <c r="H11" s="46">
        <f t="shared" ref="H11" si="0">G11*D11</f>
        <v>19131435.520000003</v>
      </c>
      <c r="I11" s="112"/>
      <c r="J11" s="113">
        <v>1062</v>
      </c>
      <c r="K11" s="114">
        <v>1E-4</v>
      </c>
      <c r="L11" s="115">
        <v>2.0000000000000001E-4</v>
      </c>
      <c r="M11" s="116"/>
    </row>
    <row r="12" spans="2:26" s="109" customFormat="1" ht="19.2" customHeight="1">
      <c r="B12" s="110">
        <v>2</v>
      </c>
      <c r="C12" s="111" t="s">
        <v>98</v>
      </c>
      <c r="D12" s="249">
        <v>2</v>
      </c>
      <c r="E12" s="44" t="s">
        <v>28</v>
      </c>
      <c r="F12" s="44" t="s">
        <v>11</v>
      </c>
      <c r="G12" s="45">
        <v>500000</v>
      </c>
      <c r="H12" s="46">
        <f t="shared" ref="H12" si="1">G12*D12</f>
        <v>1000000</v>
      </c>
      <c r="I12" s="112"/>
      <c r="J12" s="113">
        <v>1062</v>
      </c>
      <c r="K12" s="114">
        <v>1E-4</v>
      </c>
      <c r="L12" s="115">
        <v>2.0000000000000001E-4</v>
      </c>
      <c r="M12" s="116"/>
    </row>
    <row r="13" spans="2:26" ht="16.2">
      <c r="B13" s="26"/>
      <c r="C13" s="34"/>
      <c r="D13" s="124"/>
      <c r="E13" s="27"/>
      <c r="F13" s="139"/>
      <c r="G13" s="140" t="s">
        <v>14</v>
      </c>
      <c r="H13" s="141">
        <f>SUM(H11:H12)</f>
        <v>20131435.520000003</v>
      </c>
      <c r="I13" s="21"/>
      <c r="J13" s="22" t="e">
        <f>SUM(#REF!)</f>
        <v>#REF!</v>
      </c>
      <c r="K13" s="35"/>
      <c r="L13" s="36"/>
      <c r="M13" s="25"/>
    </row>
    <row r="14" spans="2:26" ht="16.2">
      <c r="B14" s="37" t="s">
        <v>15</v>
      </c>
      <c r="C14" s="13" t="s">
        <v>16</v>
      </c>
      <c r="D14" s="125"/>
      <c r="E14" s="38"/>
      <c r="F14" s="38"/>
      <c r="G14" s="39"/>
      <c r="H14" s="40"/>
      <c r="I14" s="21"/>
      <c r="J14" s="22"/>
      <c r="K14" s="35"/>
      <c r="L14" s="36"/>
      <c r="M14" s="25"/>
    </row>
    <row r="15" spans="2:26" s="109" customFormat="1" ht="51.6" customHeight="1">
      <c r="B15" s="26">
        <v>1</v>
      </c>
      <c r="C15" s="111" t="s">
        <v>99</v>
      </c>
      <c r="D15" s="124">
        <v>1</v>
      </c>
      <c r="E15" s="27" t="s">
        <v>17</v>
      </c>
      <c r="F15" s="27" t="s">
        <v>17</v>
      </c>
      <c r="G15" s="28">
        <v>2000000</v>
      </c>
      <c r="H15" s="29">
        <f>G15*D15</f>
        <v>2000000</v>
      </c>
      <c r="I15" s="112"/>
      <c r="J15" s="113">
        <v>1700</v>
      </c>
      <c r="K15" s="251"/>
      <c r="L15" s="252"/>
      <c r="M15" s="116"/>
    </row>
    <row r="16" spans="2:26" s="109" customFormat="1" ht="32.4" customHeight="1">
      <c r="B16" s="26">
        <v>2</v>
      </c>
      <c r="C16" s="111" t="s">
        <v>104</v>
      </c>
      <c r="D16" s="124">
        <v>2</v>
      </c>
      <c r="E16" s="27" t="s">
        <v>102</v>
      </c>
      <c r="F16" s="27" t="s">
        <v>11</v>
      </c>
      <c r="G16" s="28">
        <v>1000000</v>
      </c>
      <c r="H16" s="29">
        <f>G16*D16</f>
        <v>2000000</v>
      </c>
      <c r="I16" s="112"/>
      <c r="J16" s="113">
        <v>1700</v>
      </c>
      <c r="K16" s="251"/>
      <c r="L16" s="252"/>
      <c r="M16" s="116"/>
    </row>
    <row r="17" spans="2:26" ht="16.2">
      <c r="B17" s="26"/>
      <c r="C17" s="34"/>
      <c r="D17" s="124"/>
      <c r="E17" s="27"/>
      <c r="F17" s="27"/>
      <c r="G17" s="140" t="s">
        <v>18</v>
      </c>
      <c r="H17" s="141">
        <f>SUM(H15:H16)</f>
        <v>4000000</v>
      </c>
      <c r="I17" s="21"/>
      <c r="J17" s="22">
        <f>SUM(J15:J15)</f>
        <v>1700</v>
      </c>
      <c r="K17" s="35"/>
      <c r="L17" s="36"/>
      <c r="M17" s="25"/>
    </row>
    <row r="18" spans="2:26" ht="21" customHeight="1">
      <c r="B18" s="41"/>
      <c r="C18" s="142" t="s">
        <v>94</v>
      </c>
      <c r="D18" s="123"/>
      <c r="E18" s="31"/>
      <c r="F18" s="31"/>
      <c r="G18" s="32"/>
      <c r="H18" s="33"/>
      <c r="I18" s="21"/>
      <c r="J18" s="22"/>
      <c r="K18" s="35"/>
      <c r="L18" s="36"/>
      <c r="M18" s="25"/>
      <c r="S18" s="150"/>
      <c r="T18" s="150"/>
      <c r="U18" s="150"/>
      <c r="V18" s="150"/>
      <c r="W18" s="150"/>
      <c r="X18" s="150"/>
      <c r="Y18" s="150"/>
      <c r="Z18" s="150"/>
    </row>
    <row r="19" spans="2:26" ht="16.2">
      <c r="B19" s="12" t="s">
        <v>23</v>
      </c>
      <c r="C19" s="13" t="s">
        <v>9</v>
      </c>
      <c r="D19" s="122"/>
      <c r="E19" s="14"/>
      <c r="F19" s="14"/>
      <c r="G19" s="15"/>
      <c r="H19" s="16"/>
      <c r="I19" s="17"/>
      <c r="J19" s="18"/>
      <c r="K19" s="11"/>
      <c r="L19" s="19"/>
      <c r="M19" s="19"/>
      <c r="S19" s="150"/>
      <c r="T19" s="150"/>
      <c r="U19" s="150"/>
      <c r="V19" s="150"/>
      <c r="W19" s="150"/>
      <c r="X19" s="150"/>
      <c r="Y19" s="150"/>
      <c r="Z19" s="150"/>
    </row>
    <row r="20" spans="2:26" ht="16.2">
      <c r="B20" s="108">
        <v>1</v>
      </c>
      <c r="C20" s="20" t="s">
        <v>100</v>
      </c>
      <c r="D20" s="123">
        <v>2</v>
      </c>
      <c r="E20" s="31" t="s">
        <v>10</v>
      </c>
      <c r="F20" s="31" t="s">
        <v>11</v>
      </c>
      <c r="G20" s="32">
        <v>3500000</v>
      </c>
      <c r="H20" s="33">
        <f t="shared" ref="H20:H28" si="2">G20*D20</f>
        <v>7000000</v>
      </c>
      <c r="I20" s="21"/>
      <c r="J20" s="22">
        <v>1062</v>
      </c>
      <c r="K20" s="23">
        <v>1E-4</v>
      </c>
      <c r="L20" s="24">
        <v>2.0000000000000001E-4</v>
      </c>
      <c r="M20" s="25"/>
    </row>
    <row r="21" spans="2:26" ht="16.2">
      <c r="B21" s="108">
        <f>+B20+1</f>
        <v>2</v>
      </c>
      <c r="C21" s="20" t="s">
        <v>95</v>
      </c>
      <c r="D21" s="123">
        <v>3</v>
      </c>
      <c r="E21" s="31" t="s">
        <v>10</v>
      </c>
      <c r="F21" s="31" t="s">
        <v>11</v>
      </c>
      <c r="G21" s="32">
        <v>1000000</v>
      </c>
      <c r="H21" s="33">
        <f t="shared" ref="H21" si="3">G21*D21</f>
        <v>3000000</v>
      </c>
      <c r="I21" s="21"/>
      <c r="J21" s="22">
        <v>1062</v>
      </c>
      <c r="K21" s="23">
        <v>1E-4</v>
      </c>
      <c r="L21" s="24">
        <v>2.0000000000000001E-4</v>
      </c>
      <c r="M21" s="25"/>
    </row>
    <row r="22" spans="2:26" ht="16.2">
      <c r="B22" s="108">
        <f>+B21+1</f>
        <v>3</v>
      </c>
      <c r="C22" s="20" t="s">
        <v>29</v>
      </c>
      <c r="D22" s="123">
        <v>8</v>
      </c>
      <c r="E22" s="31" t="s">
        <v>10</v>
      </c>
      <c r="F22" s="31" t="s">
        <v>11</v>
      </c>
      <c r="G22" s="32">
        <v>75000</v>
      </c>
      <c r="H22" s="33">
        <f t="shared" si="2"/>
        <v>600000</v>
      </c>
      <c r="I22" s="21"/>
      <c r="J22" s="22">
        <v>1062</v>
      </c>
      <c r="K22" s="23">
        <v>1E-4</v>
      </c>
      <c r="L22" s="24">
        <v>2.0000000000000001E-4</v>
      </c>
      <c r="M22" s="25"/>
    </row>
    <row r="23" spans="2:26" ht="16.2">
      <c r="B23" s="108">
        <f t="shared" ref="B23:B27" si="4">+B22+1</f>
        <v>4</v>
      </c>
      <c r="C23" s="20" t="s">
        <v>35</v>
      </c>
      <c r="D23" s="126">
        <v>2</v>
      </c>
      <c r="E23" s="14" t="s">
        <v>10</v>
      </c>
      <c r="F23" s="14" t="s">
        <v>11</v>
      </c>
      <c r="G23" s="42">
        <v>350000</v>
      </c>
      <c r="H23" s="43">
        <f t="shared" si="2"/>
        <v>700000</v>
      </c>
      <c r="I23" s="21"/>
      <c r="J23" s="22">
        <f>3050+50</f>
        <v>3100</v>
      </c>
      <c r="K23" s="23"/>
      <c r="L23" s="24"/>
      <c r="M23" s="25"/>
    </row>
    <row r="24" spans="2:26" ht="16.2">
      <c r="B24" s="108">
        <f t="shared" si="4"/>
        <v>5</v>
      </c>
      <c r="C24" s="20" t="s">
        <v>34</v>
      </c>
      <c r="D24" s="124">
        <v>4</v>
      </c>
      <c r="E24" s="27" t="s">
        <v>30</v>
      </c>
      <c r="F24" s="27" t="s">
        <v>11</v>
      </c>
      <c r="G24" s="28">
        <v>2000000</v>
      </c>
      <c r="H24" s="29">
        <f t="shared" si="2"/>
        <v>8000000</v>
      </c>
      <c r="I24" s="21"/>
      <c r="J24" s="22">
        <v>0</v>
      </c>
      <c r="K24" s="23"/>
      <c r="L24" s="24"/>
      <c r="M24" s="25"/>
    </row>
    <row r="25" spans="2:26" ht="16.2">
      <c r="B25" s="108">
        <f t="shared" si="4"/>
        <v>6</v>
      </c>
      <c r="C25" s="20" t="s">
        <v>96</v>
      </c>
      <c r="D25" s="124">
        <v>4</v>
      </c>
      <c r="E25" s="27" t="s">
        <v>27</v>
      </c>
      <c r="F25" s="27" t="s">
        <v>11</v>
      </c>
      <c r="G25" s="28">
        <v>80000</v>
      </c>
      <c r="H25" s="29">
        <f t="shared" si="2"/>
        <v>320000</v>
      </c>
      <c r="I25" s="21"/>
      <c r="J25" s="22">
        <v>0</v>
      </c>
      <c r="K25" s="23"/>
      <c r="L25" s="24"/>
      <c r="M25" s="25"/>
    </row>
    <row r="26" spans="2:26" ht="19.2" customHeight="1">
      <c r="B26" s="108">
        <f t="shared" si="4"/>
        <v>7</v>
      </c>
      <c r="C26" s="111" t="s">
        <v>31</v>
      </c>
      <c r="D26" s="124">
        <v>4</v>
      </c>
      <c r="E26" s="27" t="s">
        <v>12</v>
      </c>
      <c r="F26" s="27" t="s">
        <v>11</v>
      </c>
      <c r="G26" s="28">
        <v>200000</v>
      </c>
      <c r="H26" s="29">
        <f t="shared" si="2"/>
        <v>800000</v>
      </c>
      <c r="I26" s="21"/>
      <c r="J26" s="22">
        <v>0</v>
      </c>
      <c r="K26" s="23"/>
      <c r="L26" s="24"/>
      <c r="M26" s="25"/>
    </row>
    <row r="27" spans="2:26" ht="19.2" customHeight="1">
      <c r="B27" s="108">
        <f t="shared" si="4"/>
        <v>8</v>
      </c>
      <c r="C27" s="111" t="s">
        <v>108</v>
      </c>
      <c r="D27" s="124">
        <v>4</v>
      </c>
      <c r="E27" s="27" t="s">
        <v>12</v>
      </c>
      <c r="F27" s="27" t="s">
        <v>11</v>
      </c>
      <c r="G27" s="28">
        <v>300000</v>
      </c>
      <c r="H27" s="29">
        <f t="shared" ref="H27" si="5">G27*D27</f>
        <v>1200000</v>
      </c>
      <c r="I27" s="21"/>
      <c r="J27" s="22">
        <v>0</v>
      </c>
      <c r="K27" s="23"/>
      <c r="L27" s="24"/>
      <c r="M27" s="25"/>
    </row>
    <row r="28" spans="2:26" ht="30.6">
      <c r="B28" s="108">
        <f>+B26+1</f>
        <v>8</v>
      </c>
      <c r="C28" s="20" t="s">
        <v>32</v>
      </c>
      <c r="D28" s="123">
        <v>1</v>
      </c>
      <c r="E28" s="31" t="s">
        <v>13</v>
      </c>
      <c r="F28" s="31" t="s">
        <v>13</v>
      </c>
      <c r="G28" s="32">
        <v>500000</v>
      </c>
      <c r="H28" s="33">
        <f t="shared" si="2"/>
        <v>500000</v>
      </c>
      <c r="I28" s="21"/>
      <c r="J28" s="22">
        <v>100</v>
      </c>
      <c r="K28" s="22">
        <f>J20*K20</f>
        <v>0.1062</v>
      </c>
      <c r="L28" s="25">
        <f>J20*L20</f>
        <v>0.21240000000000001</v>
      </c>
      <c r="M28" s="25"/>
    </row>
    <row r="29" spans="2:26" ht="16.2">
      <c r="B29" s="26"/>
      <c r="C29" s="34"/>
      <c r="D29" s="124"/>
      <c r="E29" s="27"/>
      <c r="F29" s="139"/>
      <c r="G29" s="140" t="s">
        <v>25</v>
      </c>
      <c r="H29" s="141">
        <f>SUM(H20:H28)</f>
        <v>22120000</v>
      </c>
      <c r="I29" s="21"/>
      <c r="J29" s="22">
        <f>SUM(J20:J28)</f>
        <v>6386</v>
      </c>
      <c r="K29" s="35"/>
      <c r="L29" s="36"/>
      <c r="M29" s="25"/>
    </row>
    <row r="30" spans="2:26" ht="16.2">
      <c r="B30" s="37" t="s">
        <v>24</v>
      </c>
      <c r="C30" s="13" t="s">
        <v>16</v>
      </c>
      <c r="D30" s="125"/>
      <c r="E30" s="38"/>
      <c r="F30" s="38"/>
      <c r="G30" s="39"/>
      <c r="H30" s="40"/>
      <c r="I30" s="21"/>
      <c r="J30" s="22"/>
      <c r="K30" s="35"/>
      <c r="L30" s="36"/>
      <c r="M30" s="25"/>
    </row>
    <row r="31" spans="2:26" ht="34.5" customHeight="1">
      <c r="B31" s="41">
        <v>1</v>
      </c>
      <c r="C31" s="30" t="s">
        <v>97</v>
      </c>
      <c r="D31" s="126">
        <v>1</v>
      </c>
      <c r="E31" s="14" t="s">
        <v>17</v>
      </c>
      <c r="F31" s="14" t="s">
        <v>17</v>
      </c>
      <c r="G31" s="42">
        <v>1000000</v>
      </c>
      <c r="H31" s="43">
        <f>G31*D31</f>
        <v>1000000</v>
      </c>
      <c r="I31" s="21"/>
      <c r="J31" s="22">
        <v>1700</v>
      </c>
      <c r="K31" s="35"/>
      <c r="L31" s="36"/>
      <c r="M31" s="25"/>
    </row>
    <row r="32" spans="2:26" ht="19.8" customHeight="1">
      <c r="B32" s="41">
        <v>2</v>
      </c>
      <c r="C32" s="30" t="s">
        <v>33</v>
      </c>
      <c r="D32" s="123">
        <v>1</v>
      </c>
      <c r="E32" s="31" t="s">
        <v>17</v>
      </c>
      <c r="F32" s="31" t="s">
        <v>17</v>
      </c>
      <c r="G32" s="32">
        <v>2000000</v>
      </c>
      <c r="H32" s="33">
        <f>G32*D32</f>
        <v>2000000</v>
      </c>
      <c r="I32" s="21"/>
      <c r="J32" s="22">
        <v>1700</v>
      </c>
      <c r="K32" s="35"/>
      <c r="L32" s="36"/>
      <c r="M32" s="25"/>
    </row>
    <row r="33" spans="2:22" ht="16.2">
      <c r="B33" s="26"/>
      <c r="C33" s="34"/>
      <c r="D33" s="124"/>
      <c r="E33" s="27"/>
      <c r="F33" s="27"/>
      <c r="G33" s="140" t="s">
        <v>26</v>
      </c>
      <c r="H33" s="141">
        <f>SUM(H31:H32)</f>
        <v>3000000</v>
      </c>
      <c r="I33" s="21"/>
      <c r="J33" s="22">
        <f>SUM(J31:J31)</f>
        <v>1700</v>
      </c>
      <c r="K33" s="35"/>
      <c r="L33" s="36"/>
      <c r="M33" s="25"/>
    </row>
    <row r="34" spans="2:22" ht="16.8" thickBot="1">
      <c r="B34" s="47"/>
      <c r="C34" s="48"/>
      <c r="D34" s="127"/>
      <c r="E34" s="49"/>
      <c r="F34" s="49"/>
      <c r="G34" s="50"/>
      <c r="H34" s="51"/>
      <c r="I34" s="21"/>
      <c r="J34" s="22"/>
      <c r="K34" s="35"/>
      <c r="L34" s="36"/>
      <c r="M34" s="25"/>
    </row>
    <row r="35" spans="2:22" ht="16.5" customHeight="1" thickTop="1">
      <c r="B35" s="301" t="str">
        <f>L49</f>
        <v>Lima Puluh Empat Juta Enam Ratus Enam Puluh Sembilan Ribu Sembilan Puluh Tiga Rupiah</v>
      </c>
      <c r="C35" s="302"/>
      <c r="D35" s="302"/>
      <c r="E35" s="302"/>
      <c r="F35" s="307" t="s">
        <v>103</v>
      </c>
      <c r="G35" s="308"/>
      <c r="H35" s="52">
        <f>+H13+H17+H29+H33</f>
        <v>49251435.520000003</v>
      </c>
      <c r="I35" s="21"/>
      <c r="J35" s="53" t="e">
        <f>+J13+J17</f>
        <v>#REF!</v>
      </c>
      <c r="K35" s="2"/>
      <c r="L35" s="2"/>
      <c r="M35" s="21"/>
      <c r="N35" s="21"/>
    </row>
    <row r="36" spans="2:22" ht="16.5" customHeight="1">
      <c r="B36" s="303"/>
      <c r="C36" s="304"/>
      <c r="D36" s="304"/>
      <c r="E36" s="304"/>
      <c r="F36" s="309" t="s">
        <v>81</v>
      </c>
      <c r="G36" s="310"/>
      <c r="H36" s="250">
        <f>+H35*(0.916666666666667)</f>
        <v>45147149.226666681</v>
      </c>
      <c r="I36" s="21"/>
      <c r="J36" s="53"/>
      <c r="K36" s="2"/>
      <c r="L36" s="2"/>
      <c r="M36" s="21"/>
      <c r="N36" s="21"/>
    </row>
    <row r="37" spans="2:22" ht="16.5" customHeight="1">
      <c r="B37" s="303"/>
      <c r="C37" s="304"/>
      <c r="D37" s="304"/>
      <c r="E37" s="304"/>
      <c r="F37" s="309" t="s">
        <v>106</v>
      </c>
      <c r="G37" s="310"/>
      <c r="H37" s="54">
        <f>+H36*0.12</f>
        <v>5417657.9072000012</v>
      </c>
      <c r="I37" s="21"/>
      <c r="J37" s="53"/>
      <c r="K37" s="2"/>
      <c r="L37" s="2"/>
      <c r="M37" s="21"/>
      <c r="N37" s="21"/>
    </row>
    <row r="38" spans="2:22" ht="16.2">
      <c r="B38" s="303"/>
      <c r="C38" s="304"/>
      <c r="D38" s="304"/>
      <c r="E38" s="304"/>
      <c r="F38" s="309" t="s">
        <v>20</v>
      </c>
      <c r="G38" s="310"/>
      <c r="H38" s="54">
        <f>+H35+H37</f>
        <v>54669093.427200004</v>
      </c>
      <c r="I38" s="21"/>
      <c r="J38" s="2"/>
      <c r="K38" s="2"/>
      <c r="L38" s="2"/>
      <c r="M38" s="21"/>
      <c r="N38" s="21"/>
    </row>
    <row r="39" spans="2:22" ht="16.8" thickBot="1">
      <c r="B39" s="305"/>
      <c r="C39" s="306"/>
      <c r="D39" s="306"/>
      <c r="E39" s="306"/>
      <c r="F39" s="311" t="s">
        <v>21</v>
      </c>
      <c r="G39" s="312"/>
      <c r="H39" s="55">
        <f>ROUND(H38,0)</f>
        <v>54669093</v>
      </c>
      <c r="I39" s="56"/>
      <c r="J39" s="117" t="e">
        <f>+H39-(J35*1000)</f>
        <v>#REF!</v>
      </c>
      <c r="K39" s="2"/>
      <c r="L39" s="313"/>
      <c r="M39" s="313"/>
      <c r="N39" s="313"/>
    </row>
    <row r="40" spans="2:22" ht="15.6" thickTop="1">
      <c r="C40" s="57"/>
    </row>
    <row r="41" spans="2:22" ht="15.6">
      <c r="C41" s="58"/>
      <c r="H41" s="59"/>
      <c r="L41" s="135">
        <f>+H39</f>
        <v>54669093</v>
      </c>
      <c r="M41" s="136">
        <v>1</v>
      </c>
      <c r="N41" s="136">
        <f>+M41*10</f>
        <v>10</v>
      </c>
      <c r="O41" s="136">
        <f t="shared" ref="O41:V41" si="6">+N41*10</f>
        <v>100</v>
      </c>
      <c r="P41" s="136">
        <f t="shared" si="6"/>
        <v>1000</v>
      </c>
      <c r="Q41" s="136">
        <f t="shared" si="6"/>
        <v>10000</v>
      </c>
      <c r="R41" s="136">
        <f t="shared" si="6"/>
        <v>100000</v>
      </c>
      <c r="S41" s="136">
        <f t="shared" si="6"/>
        <v>1000000</v>
      </c>
      <c r="T41" s="136">
        <f t="shared" si="6"/>
        <v>10000000</v>
      </c>
      <c r="U41" s="136">
        <f t="shared" si="6"/>
        <v>100000000</v>
      </c>
      <c r="V41" s="136">
        <f t="shared" si="6"/>
        <v>1000000000</v>
      </c>
    </row>
    <row r="42" spans="2:22" ht="15.6">
      <c r="C42" s="58"/>
      <c r="L42" s="137" t="s">
        <v>105</v>
      </c>
      <c r="M42" s="136">
        <v>0</v>
      </c>
      <c r="N42" s="138">
        <f>MOD(L41,N41)</f>
        <v>3</v>
      </c>
      <c r="O42" s="138">
        <f>MOD(L41,O41)</f>
        <v>93</v>
      </c>
      <c r="P42" s="138">
        <f>MOD(L41,P41)</f>
        <v>93</v>
      </c>
      <c r="Q42" s="138">
        <f>MOD(L41,Q41)</f>
        <v>9093</v>
      </c>
      <c r="R42" s="138">
        <f>MOD(L41,R41)</f>
        <v>69093</v>
      </c>
      <c r="S42" s="138">
        <f>MOD(L41,S41)</f>
        <v>669093</v>
      </c>
      <c r="T42" s="138">
        <f>MOD(L41,T41)</f>
        <v>4669093</v>
      </c>
      <c r="U42" s="138">
        <f>MOD(L41,U41)</f>
        <v>54669093</v>
      </c>
      <c r="V42" s="138">
        <f>MOD(L41,V41)</f>
        <v>54669093</v>
      </c>
    </row>
    <row r="43" spans="2:22" ht="15.6">
      <c r="C43" s="2"/>
      <c r="L43" s="136"/>
      <c r="M43" s="136"/>
      <c r="N43" s="136">
        <f t="shared" ref="N43:S43" si="7">+N42-M42</f>
        <v>3</v>
      </c>
      <c r="O43" s="136">
        <f t="shared" si="7"/>
        <v>90</v>
      </c>
      <c r="P43" s="136">
        <f t="shared" si="7"/>
        <v>0</v>
      </c>
      <c r="Q43" s="136">
        <f t="shared" si="7"/>
        <v>9000</v>
      </c>
      <c r="R43" s="136">
        <f t="shared" si="7"/>
        <v>60000</v>
      </c>
      <c r="S43" s="136">
        <f t="shared" si="7"/>
        <v>600000</v>
      </c>
      <c r="T43" s="136">
        <f>+T42-S42</f>
        <v>4000000</v>
      </c>
      <c r="U43" s="136">
        <f t="shared" ref="U43:V43" si="8">+U42-T42</f>
        <v>50000000</v>
      </c>
      <c r="V43" s="136">
        <f t="shared" si="8"/>
        <v>0</v>
      </c>
    </row>
    <row r="44" spans="2:22" ht="15.6">
      <c r="C44" s="2"/>
      <c r="L44" s="136"/>
      <c r="M44" s="136"/>
      <c r="N44" s="136">
        <f t="shared" ref="N44:S44" si="9">+N43*10/N41</f>
        <v>3</v>
      </c>
      <c r="O44" s="136">
        <f t="shared" si="9"/>
        <v>9</v>
      </c>
      <c r="P44" s="136">
        <f t="shared" si="9"/>
        <v>0</v>
      </c>
      <c r="Q44" s="136">
        <f t="shared" si="9"/>
        <v>9</v>
      </c>
      <c r="R44" s="136">
        <f t="shared" si="9"/>
        <v>6</v>
      </c>
      <c r="S44" s="136">
        <f t="shared" si="9"/>
        <v>6</v>
      </c>
      <c r="T44" s="136">
        <f>+T43*10/T41</f>
        <v>4</v>
      </c>
      <c r="U44" s="136">
        <f t="shared" ref="U44:V44" si="10">+U43*10/U41</f>
        <v>5</v>
      </c>
      <c r="V44" s="136">
        <f t="shared" si="10"/>
        <v>0</v>
      </c>
    </row>
    <row r="45" spans="2:22" ht="15.6">
      <c r="C45" s="60"/>
      <c r="L45" s="136"/>
      <c r="M45" s="136"/>
      <c r="N45" s="136" t="str">
        <f>IF(AND(N44&gt;0,O44&lt;&gt;1),CHOOSE(N44,"satu","dua","tiga","empat","lima","enam","tujuh","delapan","sembilan"),"")</f>
        <v>tiga</v>
      </c>
      <c r="O45" s="136" t="str">
        <f>IF(O44&gt;0,CHOOSE(O44,CHOOSE(N44+1,"se","se","dua","tiga","empat","lima","enam","tujuh","delapan","sembilan"),"dua","tiga","empat","lima","enam","tujuh","delapan","sembilan"),"")</f>
        <v>sembilan</v>
      </c>
      <c r="P45" s="136" t="str">
        <f>IF(P44&gt;0,CHOOSE(P44,"se","dua","tiga","empat","lima","enam","tujuh","delapan","sembilan"),"")</f>
        <v/>
      </c>
      <c r="Q45" s="136" t="str">
        <f>IF(AND(Q44&gt;0,R44&lt;&gt;1),CHOOSE(Q44,"satu","dua","tiga","empat","lima","enam","tujuh","delapan","sembilan"),"")</f>
        <v>sembilan</v>
      </c>
      <c r="R45" s="136" t="str">
        <f>IF(R44&gt;0,CHOOSE(R44,CHOOSE(Q44+1,"se","se","dua","tiga","empat","lima","enam","tujuh","delapan","sembilan"),"dua","tiga","empat","lima","enam","tujuh","delapan","sembilan"),"")</f>
        <v>enam</v>
      </c>
      <c r="S45" s="136" t="str">
        <f>IF(S44&gt;0,CHOOSE(S44,"se","dua","tiga","empat","lima","enam","tujuh","delapan","sembilan"),"")</f>
        <v>enam</v>
      </c>
      <c r="T45" s="136" t="str">
        <f>IF(AND(T44&gt;0,U44&lt;&gt;1),CHOOSE(T44,"satu","dua","tiga","empat","lima","enam","tujuh","delapan","sembilan"),"")</f>
        <v>empat</v>
      </c>
      <c r="U45" s="136" t="str">
        <f>IF(U44&gt;0,CHOOSE(U44,CHOOSE(T44+1,"","se","dua","tiga","empat","lima","enam","tujuh","delapan","sembilan"),"dua","tiga","empat","lima","enam","tujuh","delapan","sembilan"),"")</f>
        <v>lima</v>
      </c>
      <c r="V45" s="136" t="str">
        <f>IF(V44&gt;0,CHOOSE(V44,"se","dua","tiga","empat","lima","enam","tujuh","delapan","sembilan"),"")</f>
        <v/>
      </c>
    </row>
    <row r="46" spans="2:22" ht="15.6">
      <c r="C46" s="2"/>
      <c r="L46" s="136"/>
      <c r="M46" s="136"/>
      <c r="N46" s="136"/>
      <c r="O46" s="136" t="str">
        <f>IF(O44&gt;0,IF(AND(O44=1,N44&gt;0)," belas "," puluh "),"")</f>
        <v xml:space="preserve"> puluh </v>
      </c>
      <c r="P46" s="136" t="str">
        <f>IF(P44&gt;0," ratus ","")</f>
        <v/>
      </c>
      <c r="Q46" s="136" t="str">
        <f>IF(SUM(Q44,S44)&gt;0," ribu ","")</f>
        <v xml:space="preserve"> ribu </v>
      </c>
      <c r="R46" s="136" t="str">
        <f>IF(R44&gt;0,IF(AND(R44=1,Q44&gt;0)," belas "," puluh "),"")</f>
        <v xml:space="preserve"> puluh </v>
      </c>
      <c r="S46" s="136" t="str">
        <f>IF(S44&gt;0," ratus ","")</f>
        <v xml:space="preserve"> ratus </v>
      </c>
      <c r="T46" s="136" t="str">
        <f>IF(SUM(T44,V44)&gt;0," juta ","")</f>
        <v xml:space="preserve"> juta </v>
      </c>
      <c r="U46" s="136" t="str">
        <f>IF(U44&gt;0,IF(AND(U44=1,T44&gt;0)," belas "," puluh "),"")</f>
        <v xml:space="preserve"> puluh </v>
      </c>
      <c r="V46" s="136" t="str">
        <f>IF(V44&gt;0," ratus ","")</f>
        <v/>
      </c>
    </row>
    <row r="47" spans="2:22" ht="15.6">
      <c r="C47" s="2"/>
      <c r="L47" s="136"/>
      <c r="M47" s="136"/>
      <c r="N47" s="136" t="str">
        <f>CONCATENATE(N45,N40)</f>
        <v>tiga</v>
      </c>
      <c r="O47" s="136" t="str">
        <f t="shared" ref="O47:V47" si="11">CONCATENATE(O45,O46)</f>
        <v xml:space="preserve">sembilan puluh </v>
      </c>
      <c r="P47" s="136" t="str">
        <f t="shared" si="11"/>
        <v/>
      </c>
      <c r="Q47" s="136" t="str">
        <f t="shared" si="11"/>
        <v xml:space="preserve">sembilan ribu </v>
      </c>
      <c r="R47" s="136" t="str">
        <f t="shared" si="11"/>
        <v xml:space="preserve">enam puluh </v>
      </c>
      <c r="S47" s="136" t="str">
        <f t="shared" si="11"/>
        <v xml:space="preserve">enam ratus </v>
      </c>
      <c r="T47" s="136" t="str">
        <f t="shared" si="11"/>
        <v xml:space="preserve">empat juta </v>
      </c>
      <c r="U47" s="136" t="str">
        <f t="shared" si="11"/>
        <v xml:space="preserve">lima puluh </v>
      </c>
      <c r="V47" s="136" t="str">
        <f t="shared" si="11"/>
        <v/>
      </c>
    </row>
    <row r="48" spans="2:22" ht="15.6">
      <c r="C48" s="2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</row>
    <row r="49" spans="2:22" ht="15.6">
      <c r="C49" s="2"/>
      <c r="L49" s="137" t="str">
        <f>PROPER(CONCATENATE(V47,U47,T47,S47,R47,Q47,P47,O47,N47,L42))</f>
        <v>Lima Puluh Empat Juta Enam Ratus Enam Puluh Sembilan Ribu Sembilan Puluh Tiga Rupiah</v>
      </c>
      <c r="M49" s="136"/>
      <c r="N49" s="136"/>
      <c r="O49" s="136"/>
      <c r="P49" s="136"/>
      <c r="Q49" s="136"/>
      <c r="R49" s="136"/>
      <c r="S49" s="136"/>
      <c r="T49" s="136"/>
      <c r="U49" s="136"/>
      <c r="V49" s="136"/>
    </row>
    <row r="50" spans="2:22" ht="16.2">
      <c r="B50" s="289"/>
      <c r="C50" s="289"/>
      <c r="D50" s="289"/>
      <c r="E50" s="289"/>
      <c r="F50" s="3"/>
    </row>
    <row r="51" spans="2:22">
      <c r="B51" s="288"/>
      <c r="C51" s="288"/>
      <c r="D51" s="288"/>
      <c r="E51" s="288"/>
      <c r="F51" s="61"/>
      <c r="G51" s="62"/>
      <c r="H51" s="62"/>
    </row>
    <row r="52" spans="2:22" ht="16.2">
      <c r="B52" s="289"/>
      <c r="C52" s="289"/>
      <c r="D52" s="289"/>
      <c r="E52" s="289"/>
      <c r="F52" s="3"/>
    </row>
    <row r="53" spans="2:22" ht="16.8" thickBot="1">
      <c r="B53" s="61"/>
      <c r="C53" s="61"/>
      <c r="D53" s="128"/>
      <c r="E53" s="61"/>
      <c r="F53" s="3"/>
    </row>
    <row r="54" spans="2:22" ht="15.75" customHeight="1" thickTop="1">
      <c r="B54" s="290"/>
      <c r="C54" s="292"/>
      <c r="D54" s="294"/>
      <c r="E54" s="296"/>
      <c r="F54" s="7"/>
    </row>
    <row r="55" spans="2:22" ht="16.8" thickBot="1">
      <c r="B55" s="291"/>
      <c r="C55" s="293"/>
      <c r="D55" s="295"/>
      <c r="E55" s="297"/>
      <c r="F55" s="7"/>
    </row>
    <row r="56" spans="2:22" ht="16.8" thickTop="1">
      <c r="B56" s="63"/>
      <c r="C56" s="64"/>
      <c r="D56" s="129"/>
      <c r="E56" s="65"/>
      <c r="F56" s="7"/>
    </row>
    <row r="57" spans="2:22">
      <c r="B57" s="26"/>
      <c r="C57" s="34"/>
      <c r="D57" s="124"/>
      <c r="E57" s="66"/>
      <c r="F57" s="67"/>
    </row>
    <row r="58" spans="2:22">
      <c r="B58" s="26"/>
      <c r="C58" s="34"/>
      <c r="D58" s="124"/>
      <c r="E58" s="66"/>
      <c r="F58" s="67"/>
    </row>
    <row r="59" spans="2:22">
      <c r="B59" s="26"/>
      <c r="C59" s="34"/>
      <c r="D59" s="124"/>
      <c r="E59" s="66"/>
      <c r="F59" s="67"/>
    </row>
    <row r="60" spans="2:22">
      <c r="B60" s="26"/>
      <c r="C60" s="34"/>
      <c r="D60" s="124"/>
      <c r="E60" s="66"/>
      <c r="F60" s="67"/>
    </row>
    <row r="61" spans="2:22">
      <c r="B61" s="26"/>
      <c r="C61" s="34"/>
      <c r="D61" s="124"/>
      <c r="E61" s="66"/>
      <c r="F61" s="67"/>
    </row>
    <row r="62" spans="2:22">
      <c r="B62" s="26"/>
      <c r="C62" s="68"/>
      <c r="D62" s="124"/>
      <c r="E62" s="66"/>
      <c r="F62" s="67"/>
    </row>
    <row r="63" spans="2:22">
      <c r="B63" s="26"/>
      <c r="C63" s="34"/>
      <c r="D63" s="124"/>
      <c r="E63" s="66"/>
      <c r="F63" s="67"/>
    </row>
    <row r="64" spans="2:22" ht="15.6">
      <c r="B64" s="37"/>
      <c r="C64" s="69"/>
      <c r="D64" s="124"/>
      <c r="E64" s="66"/>
      <c r="F64" s="67"/>
    </row>
    <row r="65" spans="2:6">
      <c r="B65" s="26"/>
      <c r="C65" s="34"/>
      <c r="D65" s="124"/>
      <c r="E65" s="66"/>
      <c r="F65" s="67"/>
    </row>
    <row r="66" spans="2:6">
      <c r="B66" s="26"/>
      <c r="C66" s="34"/>
      <c r="D66" s="124"/>
      <c r="E66" s="66"/>
      <c r="F66" s="67"/>
    </row>
    <row r="67" spans="2:6">
      <c r="B67" s="26"/>
      <c r="C67" s="34"/>
      <c r="D67" s="124"/>
      <c r="E67" s="66"/>
      <c r="F67" s="67"/>
    </row>
    <row r="68" spans="2:6">
      <c r="B68" s="26"/>
      <c r="C68" s="34"/>
      <c r="D68" s="124"/>
      <c r="E68" s="66"/>
      <c r="F68" s="67"/>
    </row>
    <row r="69" spans="2:6">
      <c r="B69" s="26"/>
      <c r="C69" s="34"/>
      <c r="D69" s="124"/>
      <c r="E69" s="66"/>
      <c r="F69" s="67"/>
    </row>
    <row r="70" spans="2:6">
      <c r="B70" s="26"/>
      <c r="C70" s="34"/>
      <c r="D70" s="124"/>
      <c r="E70" s="66"/>
      <c r="F70" s="67"/>
    </row>
    <row r="71" spans="2:6">
      <c r="B71" s="26"/>
      <c r="C71" s="70"/>
      <c r="D71" s="124"/>
      <c r="E71" s="66"/>
      <c r="F71" s="67"/>
    </row>
    <row r="72" spans="2:6">
      <c r="B72" s="26"/>
      <c r="C72" s="34"/>
      <c r="D72" s="124"/>
      <c r="E72" s="66"/>
      <c r="F72" s="67"/>
    </row>
    <row r="73" spans="2:6">
      <c r="B73" s="26"/>
      <c r="C73" s="34"/>
      <c r="D73" s="124"/>
      <c r="E73" s="66"/>
      <c r="F73" s="67"/>
    </row>
    <row r="74" spans="2:6" ht="15.6">
      <c r="B74" s="26"/>
      <c r="C74" s="69"/>
      <c r="D74" s="124"/>
      <c r="E74" s="66"/>
      <c r="F74" s="67"/>
    </row>
    <row r="75" spans="2:6" ht="15.6">
      <c r="B75" s="26"/>
      <c r="C75" s="69"/>
      <c r="D75" s="124"/>
      <c r="E75" s="66"/>
      <c r="F75" s="67"/>
    </row>
    <row r="76" spans="2:6">
      <c r="B76" s="26"/>
      <c r="C76" s="34"/>
      <c r="D76" s="124"/>
      <c r="E76" s="66"/>
      <c r="F76" s="67"/>
    </row>
    <row r="77" spans="2:6">
      <c r="B77" s="26"/>
      <c r="C77" s="34"/>
      <c r="D77" s="124"/>
      <c r="E77" s="66"/>
      <c r="F77" s="67"/>
    </row>
    <row r="78" spans="2:6">
      <c r="B78" s="26"/>
      <c r="C78" s="34"/>
      <c r="D78" s="124"/>
      <c r="E78" s="66"/>
      <c r="F78" s="67"/>
    </row>
    <row r="79" spans="2:6">
      <c r="B79" s="26"/>
      <c r="C79" s="34"/>
      <c r="D79" s="124"/>
      <c r="E79" s="66"/>
      <c r="F79" s="67"/>
    </row>
    <row r="80" spans="2:6">
      <c r="B80" s="26"/>
      <c r="C80" s="34"/>
      <c r="D80" s="124"/>
      <c r="E80" s="66"/>
      <c r="F80" s="67"/>
    </row>
    <row r="81" spans="2:6">
      <c r="B81" s="26"/>
      <c r="C81" s="34"/>
      <c r="D81" s="124"/>
      <c r="E81" s="66"/>
      <c r="F81" s="67"/>
    </row>
    <row r="82" spans="2:6">
      <c r="B82" s="26"/>
      <c r="C82" s="34"/>
      <c r="D82" s="124"/>
      <c r="E82" s="66"/>
      <c r="F82" s="67"/>
    </row>
    <row r="83" spans="2:6">
      <c r="B83" s="26"/>
      <c r="C83" s="34"/>
      <c r="D83" s="124"/>
      <c r="E83" s="66"/>
      <c r="F83" s="67"/>
    </row>
    <row r="84" spans="2:6">
      <c r="B84" s="26"/>
      <c r="C84" s="34"/>
      <c r="D84" s="124"/>
      <c r="E84" s="66"/>
      <c r="F84" s="67"/>
    </row>
    <row r="85" spans="2:6">
      <c r="B85" s="26"/>
      <c r="C85" s="34"/>
      <c r="D85" s="124"/>
      <c r="E85" s="66"/>
      <c r="F85" s="67"/>
    </row>
    <row r="86" spans="2:6" ht="15.6">
      <c r="B86" s="26"/>
      <c r="C86" s="69"/>
      <c r="D86" s="124"/>
      <c r="E86" s="66"/>
      <c r="F86" s="67"/>
    </row>
    <row r="87" spans="2:6">
      <c r="B87" s="26"/>
      <c r="C87" s="34"/>
      <c r="D87" s="124"/>
      <c r="E87" s="66"/>
      <c r="F87" s="67"/>
    </row>
    <row r="88" spans="2:6">
      <c r="B88" s="26"/>
      <c r="C88" s="34"/>
      <c r="D88" s="124"/>
      <c r="E88" s="66"/>
      <c r="F88" s="67"/>
    </row>
    <row r="89" spans="2:6">
      <c r="B89" s="26"/>
      <c r="C89" s="34"/>
      <c r="D89" s="124"/>
      <c r="E89" s="66"/>
      <c r="F89" s="67"/>
    </row>
    <row r="90" spans="2:6">
      <c r="B90" s="26"/>
      <c r="C90" s="34"/>
      <c r="D90" s="124"/>
      <c r="E90" s="66"/>
      <c r="F90" s="67"/>
    </row>
    <row r="91" spans="2:6">
      <c r="B91" s="26"/>
      <c r="C91" s="34"/>
      <c r="D91" s="124"/>
      <c r="E91" s="66"/>
      <c r="F91" s="67"/>
    </row>
    <row r="92" spans="2:6">
      <c r="B92" s="26"/>
      <c r="C92" s="34"/>
      <c r="D92" s="124"/>
      <c r="E92" s="66"/>
      <c r="F92" s="67"/>
    </row>
    <row r="93" spans="2:6">
      <c r="B93" s="26"/>
      <c r="C93" s="34"/>
      <c r="D93" s="124"/>
      <c r="E93" s="66"/>
      <c r="F93" s="67"/>
    </row>
    <row r="94" spans="2:6">
      <c r="B94" s="26"/>
      <c r="C94" s="34"/>
      <c r="D94" s="124"/>
      <c r="E94" s="66"/>
      <c r="F94" s="67"/>
    </row>
    <row r="95" spans="2:6">
      <c r="B95" s="26"/>
      <c r="C95" s="34"/>
      <c r="D95" s="124"/>
      <c r="E95" s="66"/>
      <c r="F95" s="67"/>
    </row>
    <row r="96" spans="2:6">
      <c r="B96" s="26"/>
      <c r="C96" s="34"/>
      <c r="D96" s="124"/>
      <c r="E96" s="66"/>
      <c r="F96" s="67"/>
    </row>
    <row r="97" spans="2:6" ht="15.6">
      <c r="B97" s="26"/>
      <c r="C97" s="69"/>
      <c r="D97" s="124"/>
      <c r="E97" s="66"/>
      <c r="F97" s="67"/>
    </row>
    <row r="98" spans="2:6">
      <c r="B98" s="26"/>
      <c r="C98" s="34"/>
      <c r="D98" s="124"/>
      <c r="E98" s="66"/>
      <c r="F98" s="67"/>
    </row>
    <row r="99" spans="2:6">
      <c r="B99" s="26"/>
      <c r="C99" s="34"/>
      <c r="D99" s="124"/>
      <c r="E99" s="66"/>
      <c r="F99" s="67"/>
    </row>
    <row r="100" spans="2:6" ht="15.6" thickBot="1">
      <c r="B100" s="71"/>
      <c r="C100" s="72"/>
      <c r="D100" s="130"/>
      <c r="E100" s="73"/>
      <c r="F100" s="67"/>
    </row>
    <row r="101" spans="2:6" ht="15.6" thickTop="1">
      <c r="B101" s="74"/>
      <c r="C101" s="2"/>
      <c r="D101" s="131"/>
      <c r="E101" s="67"/>
      <c r="F101" s="67"/>
    </row>
    <row r="102" spans="2:6">
      <c r="B102" s="74"/>
      <c r="C102" s="75"/>
      <c r="D102" s="131"/>
      <c r="E102" s="74"/>
      <c r="F102" s="74"/>
    </row>
    <row r="103" spans="2:6" ht="16.5" customHeight="1"/>
    <row r="104" spans="2:6">
      <c r="B104" s="285"/>
      <c r="C104" s="285"/>
    </row>
    <row r="114" spans="2:10" ht="16.2">
      <c r="B114" s="286"/>
      <c r="C114" s="286"/>
      <c r="D114" s="286"/>
      <c r="E114" s="286"/>
      <c r="F114" s="286"/>
      <c r="G114" s="286"/>
      <c r="H114" s="76"/>
    </row>
    <row r="115" spans="2:10" ht="16.2">
      <c r="B115" s="286"/>
      <c r="C115" s="286"/>
      <c r="D115" s="286"/>
      <c r="E115" s="286"/>
      <c r="F115" s="286"/>
      <c r="G115" s="286"/>
      <c r="H115" s="4"/>
    </row>
    <row r="116" spans="2:10" ht="16.2">
      <c r="B116" s="286"/>
      <c r="C116" s="286"/>
      <c r="D116" s="286"/>
      <c r="E116" s="286"/>
      <c r="F116" s="286"/>
      <c r="G116" s="286"/>
      <c r="H116" s="4"/>
    </row>
    <row r="117" spans="2:10" ht="16.2">
      <c r="B117" s="3"/>
      <c r="C117" s="3"/>
      <c r="D117" s="132"/>
      <c r="E117" s="3"/>
      <c r="F117" s="3"/>
      <c r="G117" s="3"/>
      <c r="H117" s="3"/>
    </row>
    <row r="118" spans="2:10" ht="16.8" thickBot="1">
      <c r="B118" s="3"/>
      <c r="C118" s="3"/>
      <c r="D118" s="132"/>
      <c r="E118" s="3"/>
      <c r="F118" s="3"/>
      <c r="G118" s="3"/>
      <c r="H118" s="3"/>
    </row>
    <row r="119" spans="2:10" ht="15.75" customHeight="1" thickTop="1">
      <c r="B119" s="274"/>
      <c r="C119" s="276"/>
      <c r="D119" s="278"/>
      <c r="E119" s="276"/>
      <c r="F119" s="276"/>
      <c r="G119" s="262"/>
    </row>
    <row r="120" spans="2:10" ht="15.6" thickBot="1">
      <c r="B120" s="275"/>
      <c r="C120" s="287"/>
      <c r="D120" s="279"/>
      <c r="E120" s="277"/>
      <c r="F120" s="277"/>
      <c r="G120" s="263"/>
    </row>
    <row r="121" spans="2:10" ht="16.8" thickTop="1">
      <c r="B121" s="77"/>
      <c r="C121" s="78"/>
      <c r="D121" s="133"/>
      <c r="E121" s="79"/>
      <c r="F121" s="79"/>
      <c r="G121" s="80"/>
    </row>
    <row r="122" spans="2:10" ht="15.6">
      <c r="B122" s="81"/>
      <c r="C122" s="82"/>
      <c r="D122" s="134"/>
      <c r="E122" s="83"/>
      <c r="F122" s="84"/>
      <c r="G122" s="85"/>
    </row>
    <row r="123" spans="2:10">
      <c r="B123" s="47"/>
      <c r="C123" s="86"/>
      <c r="D123" s="127"/>
      <c r="E123" s="49"/>
      <c r="F123" s="50"/>
      <c r="G123" s="51"/>
      <c r="J123" s="50">
        <f>6500000*0.2%</f>
        <v>13000</v>
      </c>
    </row>
    <row r="124" spans="2:10">
      <c r="B124" s="47"/>
      <c r="C124" s="86"/>
      <c r="D124" s="127"/>
      <c r="E124" s="49"/>
      <c r="F124" s="50"/>
      <c r="G124" s="51"/>
      <c r="J124" s="50">
        <f>30000*0.2%</f>
        <v>60</v>
      </c>
    </row>
    <row r="125" spans="2:10">
      <c r="B125" s="47"/>
      <c r="C125" s="86"/>
      <c r="D125" s="127"/>
      <c r="E125" s="49"/>
      <c r="F125" s="50"/>
      <c r="G125" s="51"/>
      <c r="J125" s="50">
        <f>706250*0.2%</f>
        <v>1412.5</v>
      </c>
    </row>
    <row r="126" spans="2:10">
      <c r="B126" s="47"/>
      <c r="C126" s="48"/>
      <c r="D126" s="127"/>
      <c r="E126" s="49"/>
      <c r="F126" s="50"/>
      <c r="G126" s="51"/>
      <c r="J126" s="50">
        <f>1525500*0.2%</f>
        <v>3051</v>
      </c>
    </row>
    <row r="127" spans="2:10">
      <c r="B127" s="47"/>
      <c r="C127" s="48"/>
      <c r="D127" s="127"/>
      <c r="E127" s="49"/>
      <c r="F127" s="50"/>
      <c r="G127" s="51"/>
      <c r="J127" s="50">
        <f>13650*0.2%</f>
        <v>27.3</v>
      </c>
    </row>
    <row r="128" spans="2:10">
      <c r="B128" s="47"/>
      <c r="C128" s="2"/>
      <c r="D128" s="127"/>
      <c r="E128" s="49"/>
      <c r="F128" s="50"/>
      <c r="G128" s="51"/>
      <c r="J128" s="50">
        <f>13650*0.2%</f>
        <v>27.3</v>
      </c>
    </row>
    <row r="129" spans="2:10" ht="15.6">
      <c r="B129" s="47"/>
      <c r="C129" s="48"/>
      <c r="D129" s="127"/>
      <c r="E129" s="49"/>
      <c r="F129" s="87"/>
      <c r="G129" s="88"/>
    </row>
    <row r="130" spans="2:10" ht="15.6">
      <c r="B130" s="89"/>
      <c r="C130" s="82"/>
      <c r="D130" s="127"/>
      <c r="E130" s="49"/>
      <c r="F130" s="50"/>
      <c r="G130" s="51"/>
    </row>
    <row r="131" spans="2:10">
      <c r="B131" s="47"/>
      <c r="C131" s="48"/>
      <c r="D131" s="127"/>
      <c r="E131" s="49"/>
      <c r="F131" s="50"/>
      <c r="G131" s="51"/>
      <c r="J131" s="50">
        <f>2000000*0.2%</f>
        <v>4000</v>
      </c>
    </row>
    <row r="132" spans="2:10">
      <c r="B132" s="47"/>
      <c r="C132" s="48"/>
      <c r="D132" s="127"/>
      <c r="E132" s="49"/>
      <c r="F132" s="50"/>
      <c r="G132" s="51"/>
      <c r="J132" s="50">
        <f>226000*0.2%</f>
        <v>452</v>
      </c>
    </row>
    <row r="133" spans="2:10">
      <c r="B133" s="47"/>
      <c r="C133" s="48"/>
      <c r="D133" s="127"/>
      <c r="E133" s="49"/>
      <c r="F133" s="50"/>
      <c r="G133" s="51"/>
      <c r="J133" s="50">
        <f>3250000*0.2%</f>
        <v>6500</v>
      </c>
    </row>
    <row r="134" spans="2:10">
      <c r="B134" s="47"/>
      <c r="C134" s="48"/>
      <c r="D134" s="127"/>
      <c r="E134" s="49"/>
      <c r="F134" s="50"/>
      <c r="G134" s="51"/>
      <c r="J134" s="50">
        <f>1000000*0.2%</f>
        <v>2000</v>
      </c>
    </row>
    <row r="135" spans="2:10">
      <c r="B135" s="47"/>
      <c r="C135" s="48"/>
      <c r="D135" s="127"/>
      <c r="E135" s="49"/>
      <c r="F135" s="50"/>
      <c r="G135" s="51"/>
      <c r="J135" s="50">
        <f>1000000*0.2%</f>
        <v>2000</v>
      </c>
    </row>
    <row r="136" spans="2:10">
      <c r="B136" s="47"/>
      <c r="C136" s="48"/>
      <c r="D136" s="127"/>
      <c r="E136" s="49"/>
      <c r="F136" s="50"/>
      <c r="G136" s="51"/>
    </row>
    <row r="137" spans="2:10">
      <c r="B137" s="47"/>
      <c r="C137" s="90"/>
      <c r="D137" s="127"/>
      <c r="E137" s="49"/>
      <c r="F137" s="50"/>
      <c r="G137" s="51"/>
    </row>
    <row r="138" spans="2:10">
      <c r="B138" s="47"/>
      <c r="C138" s="48"/>
      <c r="D138" s="127"/>
      <c r="E138" s="49"/>
      <c r="F138" s="50"/>
      <c r="G138" s="51"/>
    </row>
    <row r="139" spans="2:10" ht="15.6">
      <c r="B139" s="47"/>
      <c r="C139" s="48"/>
      <c r="D139" s="127"/>
      <c r="E139" s="49"/>
      <c r="F139" s="87"/>
      <c r="G139" s="88"/>
    </row>
    <row r="140" spans="2:10">
      <c r="B140" s="47"/>
      <c r="C140" s="48"/>
      <c r="D140" s="127"/>
      <c r="E140" s="49"/>
      <c r="F140" s="50"/>
      <c r="G140" s="51"/>
    </row>
    <row r="141" spans="2:10" ht="15.6">
      <c r="B141" s="89"/>
      <c r="C141" s="82"/>
      <c r="D141" s="127"/>
      <c r="E141" s="49"/>
      <c r="F141" s="50"/>
      <c r="G141" s="51"/>
    </row>
    <row r="142" spans="2:10" ht="15.6">
      <c r="B142" s="89"/>
      <c r="C142" s="82"/>
      <c r="D142" s="127"/>
      <c r="E142" s="49"/>
      <c r="F142" s="50"/>
      <c r="G142" s="51"/>
    </row>
    <row r="143" spans="2:10">
      <c r="B143" s="47"/>
      <c r="C143" s="48"/>
      <c r="D143" s="127"/>
      <c r="E143" s="49"/>
      <c r="F143" s="50"/>
      <c r="G143" s="51"/>
    </row>
    <row r="144" spans="2:10">
      <c r="B144" s="47"/>
      <c r="C144" s="48"/>
      <c r="D144" s="127"/>
      <c r="E144" s="49"/>
      <c r="F144" s="50"/>
      <c r="G144" s="51"/>
    </row>
    <row r="145" spans="2:7">
      <c r="B145" s="47"/>
      <c r="C145" s="48"/>
      <c r="D145" s="127"/>
      <c r="E145" s="49"/>
      <c r="F145" s="50"/>
      <c r="G145" s="51"/>
    </row>
    <row r="146" spans="2:7">
      <c r="B146" s="47"/>
      <c r="C146" s="48"/>
      <c r="D146" s="127"/>
      <c r="E146" s="49"/>
      <c r="F146" s="50"/>
      <c r="G146" s="51"/>
    </row>
    <row r="147" spans="2:7">
      <c r="B147" s="47"/>
      <c r="C147" s="48"/>
      <c r="D147" s="127"/>
      <c r="E147" s="49"/>
      <c r="F147" s="50"/>
      <c r="G147" s="51"/>
    </row>
    <row r="148" spans="2:7">
      <c r="B148" s="47"/>
      <c r="C148" s="48"/>
      <c r="D148" s="127"/>
      <c r="E148" s="49"/>
      <c r="F148" s="50"/>
      <c r="G148" s="51"/>
    </row>
    <row r="149" spans="2:7">
      <c r="B149" s="47"/>
      <c r="C149" s="48"/>
      <c r="D149" s="127"/>
      <c r="E149" s="49"/>
      <c r="F149" s="50"/>
      <c r="G149" s="51"/>
    </row>
    <row r="150" spans="2:7">
      <c r="B150" s="47"/>
      <c r="C150" s="48"/>
      <c r="D150" s="127"/>
      <c r="E150" s="49"/>
      <c r="F150" s="50"/>
      <c r="G150" s="51"/>
    </row>
    <row r="151" spans="2:7">
      <c r="B151" s="47"/>
      <c r="C151" s="48"/>
      <c r="D151" s="127"/>
      <c r="E151" s="49"/>
      <c r="F151" s="50"/>
      <c r="G151" s="51"/>
    </row>
    <row r="152" spans="2:7" ht="15.6">
      <c r="B152" s="47"/>
      <c r="C152" s="48"/>
      <c r="D152" s="127"/>
      <c r="E152" s="49"/>
      <c r="F152" s="87"/>
      <c r="G152" s="88"/>
    </row>
    <row r="153" spans="2:7" ht="15.6">
      <c r="B153" s="47"/>
      <c r="C153" s="48"/>
      <c r="D153" s="127"/>
      <c r="E153" s="49"/>
      <c r="F153" s="87"/>
      <c r="G153" s="88"/>
    </row>
    <row r="154" spans="2:7" ht="15.6">
      <c r="B154" s="47"/>
      <c r="C154" s="82"/>
      <c r="D154" s="127"/>
      <c r="E154" s="49"/>
      <c r="F154" s="87"/>
      <c r="G154" s="88"/>
    </row>
    <row r="155" spans="2:7">
      <c r="B155" s="47"/>
      <c r="C155" s="48"/>
      <c r="D155" s="127"/>
      <c r="E155" s="49"/>
      <c r="F155" s="50"/>
      <c r="G155" s="51"/>
    </row>
    <row r="156" spans="2:7">
      <c r="B156" s="47"/>
      <c r="C156" s="48"/>
      <c r="D156" s="127"/>
      <c r="E156" s="49"/>
      <c r="F156" s="50"/>
      <c r="G156" s="51"/>
    </row>
    <row r="157" spans="2:7">
      <c r="B157" s="47"/>
      <c r="C157" s="48"/>
      <c r="D157" s="127"/>
      <c r="E157" s="49"/>
      <c r="F157" s="50"/>
      <c r="G157" s="51"/>
    </row>
    <row r="158" spans="2:7">
      <c r="B158" s="47"/>
      <c r="C158" s="48"/>
      <c r="D158" s="127"/>
      <c r="E158" s="49"/>
      <c r="F158" s="50"/>
      <c r="G158" s="51"/>
    </row>
    <row r="159" spans="2:7">
      <c r="B159" s="47"/>
      <c r="C159" s="48"/>
      <c r="D159" s="127"/>
      <c r="E159" s="49"/>
      <c r="F159" s="50"/>
      <c r="G159" s="51"/>
    </row>
    <row r="160" spans="2:7">
      <c r="B160" s="47"/>
      <c r="C160" s="48"/>
      <c r="D160" s="127"/>
      <c r="E160" s="49"/>
      <c r="F160" s="50"/>
      <c r="G160" s="51"/>
    </row>
    <row r="161" spans="2:8">
      <c r="B161" s="47"/>
      <c r="C161" s="48"/>
      <c r="D161" s="127"/>
      <c r="E161" s="49"/>
      <c r="F161" s="50"/>
      <c r="G161" s="51"/>
    </row>
    <row r="162" spans="2:8">
      <c r="B162" s="47"/>
      <c r="C162" s="48"/>
      <c r="D162" s="127"/>
      <c r="E162" s="49"/>
      <c r="F162" s="50"/>
      <c r="G162" s="51"/>
    </row>
    <row r="163" spans="2:8">
      <c r="B163" s="47"/>
      <c r="C163" s="48"/>
      <c r="D163" s="127"/>
      <c r="E163" s="49"/>
      <c r="F163" s="50"/>
      <c r="G163" s="51"/>
    </row>
    <row r="164" spans="2:8" ht="15.6">
      <c r="B164" s="47"/>
      <c r="C164" s="48"/>
      <c r="D164" s="127"/>
      <c r="E164" s="49"/>
      <c r="F164" s="87"/>
      <c r="G164" s="88"/>
    </row>
    <row r="165" spans="2:8" ht="15.6">
      <c r="B165" s="47"/>
      <c r="C165" s="48"/>
      <c r="D165" s="127"/>
      <c r="E165" s="49"/>
      <c r="F165" s="87"/>
      <c r="G165" s="88"/>
    </row>
    <row r="166" spans="2:8" ht="15.6">
      <c r="B166" s="89"/>
      <c r="C166" s="82"/>
      <c r="D166" s="127"/>
      <c r="E166" s="49"/>
      <c r="F166" s="50"/>
      <c r="G166" s="51"/>
    </row>
    <row r="167" spans="2:8">
      <c r="B167" s="47"/>
      <c r="C167" s="48"/>
      <c r="D167" s="127"/>
      <c r="E167" s="49"/>
      <c r="F167" s="50"/>
      <c r="G167" s="51"/>
    </row>
    <row r="168" spans="2:8">
      <c r="B168" s="47"/>
      <c r="C168" s="48"/>
      <c r="D168" s="127"/>
      <c r="E168" s="49"/>
      <c r="F168" s="50"/>
      <c r="G168" s="51"/>
    </row>
    <row r="169" spans="2:8">
      <c r="B169" s="47"/>
      <c r="C169" s="2"/>
      <c r="D169" s="127"/>
      <c r="E169" s="49"/>
      <c r="F169" s="50"/>
      <c r="G169" s="51"/>
    </row>
    <row r="170" spans="2:8" ht="16.2" thickBot="1">
      <c r="B170" s="47"/>
      <c r="C170" s="91"/>
      <c r="D170" s="127"/>
      <c r="E170" s="49"/>
      <c r="F170" s="92"/>
      <c r="G170" s="93"/>
    </row>
    <row r="171" spans="2:8" ht="16.5" customHeight="1" thickTop="1" thickBot="1">
      <c r="B171" s="264"/>
      <c r="C171" s="265"/>
      <c r="D171" s="265"/>
      <c r="E171" s="282"/>
      <c r="F171" s="282"/>
      <c r="G171" s="94"/>
      <c r="H171" s="95"/>
    </row>
    <row r="172" spans="2:8" ht="16.2" thickBot="1">
      <c r="B172" s="267"/>
      <c r="C172" s="268"/>
      <c r="D172" s="268"/>
      <c r="E172" s="283"/>
      <c r="F172" s="283"/>
      <c r="G172" s="96"/>
      <c r="H172" s="97"/>
    </row>
    <row r="173" spans="2:8" ht="16.2" thickBot="1">
      <c r="B173" s="267"/>
      <c r="C173" s="268"/>
      <c r="D173" s="268"/>
      <c r="E173" s="283"/>
      <c r="F173" s="283"/>
      <c r="G173" s="96"/>
      <c r="H173" s="98"/>
    </row>
    <row r="174" spans="2:8" ht="16.2" thickBot="1">
      <c r="B174" s="267"/>
      <c r="C174" s="268"/>
      <c r="D174" s="268"/>
      <c r="E174" s="283"/>
      <c r="F174" s="283"/>
      <c r="G174" s="96"/>
      <c r="H174" s="98"/>
    </row>
    <row r="175" spans="2:8" ht="16.2" thickBot="1">
      <c r="B175" s="280"/>
      <c r="C175" s="281"/>
      <c r="D175" s="281"/>
      <c r="E175" s="284"/>
      <c r="F175" s="284"/>
      <c r="G175" s="99"/>
      <c r="H175" s="98"/>
    </row>
    <row r="176" spans="2:8" ht="16.8" thickTop="1">
      <c r="B176" s="3"/>
      <c r="C176" s="3"/>
      <c r="D176" s="132"/>
      <c r="E176" s="3"/>
      <c r="F176" s="3"/>
      <c r="G176" s="3"/>
      <c r="H176" s="3"/>
    </row>
    <row r="177" spans="2:8" ht="15.75" customHeight="1">
      <c r="C177" s="57"/>
    </row>
    <row r="178" spans="2:8" ht="15.6">
      <c r="C178" s="58"/>
      <c r="H178" s="59"/>
    </row>
    <row r="179" spans="2:8" ht="15.6">
      <c r="C179" s="58"/>
    </row>
    <row r="180" spans="2:8">
      <c r="C180" s="2"/>
    </row>
    <row r="181" spans="2:8">
      <c r="C181" s="2"/>
    </row>
    <row r="182" spans="2:8" ht="15.6">
      <c r="C182" s="60"/>
    </row>
    <row r="183" spans="2:8">
      <c r="C183" s="2"/>
    </row>
    <row r="184" spans="2:8">
      <c r="C184" s="2"/>
    </row>
    <row r="189" spans="2:8" ht="15.6" thickBot="1"/>
    <row r="190" spans="2:8" ht="15.75" customHeight="1" thickTop="1">
      <c r="B190" s="274"/>
      <c r="C190" s="276"/>
      <c r="D190" s="278"/>
      <c r="E190" s="276"/>
      <c r="F190" s="276"/>
      <c r="G190" s="262"/>
    </row>
    <row r="191" spans="2:8" ht="15.6" thickBot="1">
      <c r="B191" s="275"/>
      <c r="C191" s="277"/>
      <c r="D191" s="279"/>
      <c r="E191" s="277"/>
      <c r="F191" s="277"/>
      <c r="G191" s="263"/>
    </row>
    <row r="192" spans="2:8" ht="16.8" thickTop="1">
      <c r="B192" s="77"/>
      <c r="C192" s="78"/>
      <c r="D192" s="133"/>
      <c r="E192" s="79"/>
      <c r="F192" s="79"/>
      <c r="G192" s="80"/>
    </row>
    <row r="193" spans="2:7" ht="15.6">
      <c r="B193" s="81"/>
      <c r="C193" s="82"/>
      <c r="D193" s="134"/>
      <c r="E193" s="83"/>
      <c r="F193" s="84"/>
      <c r="G193" s="85"/>
    </row>
    <row r="194" spans="2:7" ht="16.5" customHeight="1">
      <c r="B194" s="47"/>
      <c r="C194" s="86"/>
      <c r="D194" s="127"/>
      <c r="E194" s="49"/>
      <c r="F194" s="50"/>
      <c r="G194" s="51"/>
    </row>
    <row r="195" spans="2:7">
      <c r="B195" s="47"/>
      <c r="C195" s="86"/>
      <c r="D195" s="127"/>
      <c r="E195" s="49"/>
      <c r="F195" s="50"/>
      <c r="G195" s="51"/>
    </row>
    <row r="196" spans="2:7">
      <c r="B196" s="47"/>
      <c r="C196" s="86"/>
      <c r="D196" s="127"/>
      <c r="E196" s="49"/>
      <c r="F196" s="50"/>
      <c r="G196" s="51"/>
    </row>
    <row r="197" spans="2:7">
      <c r="B197" s="47"/>
      <c r="C197" s="48"/>
      <c r="D197" s="127"/>
      <c r="E197" s="49"/>
      <c r="F197" s="50"/>
      <c r="G197" s="51"/>
    </row>
    <row r="198" spans="2:7">
      <c r="B198" s="47"/>
      <c r="C198" s="48"/>
      <c r="D198" s="127"/>
      <c r="E198" s="49"/>
      <c r="F198" s="50"/>
      <c r="G198" s="51"/>
    </row>
    <row r="199" spans="2:7">
      <c r="B199" s="47"/>
      <c r="C199" s="2"/>
      <c r="D199" s="127"/>
      <c r="E199" s="49"/>
      <c r="F199" s="50"/>
      <c r="G199" s="51"/>
    </row>
    <row r="200" spans="2:7" ht="15.6">
      <c r="B200" s="47"/>
      <c r="C200" s="48"/>
      <c r="D200" s="127"/>
      <c r="E200" s="49"/>
      <c r="F200" s="87"/>
      <c r="G200" s="88"/>
    </row>
    <row r="201" spans="2:7" ht="15.6">
      <c r="B201" s="89"/>
      <c r="C201" s="82"/>
      <c r="D201" s="127"/>
      <c r="E201" s="49"/>
      <c r="F201" s="50"/>
      <c r="G201" s="51"/>
    </row>
    <row r="202" spans="2:7">
      <c r="B202" s="47"/>
      <c r="C202" s="48"/>
      <c r="D202" s="127"/>
      <c r="E202" s="49"/>
      <c r="F202" s="50"/>
      <c r="G202" s="51"/>
    </row>
    <row r="203" spans="2:7">
      <c r="B203" s="47"/>
      <c r="C203" s="48"/>
      <c r="D203" s="127"/>
      <c r="E203" s="49"/>
      <c r="F203" s="50"/>
      <c r="G203" s="51"/>
    </row>
    <row r="204" spans="2:7">
      <c r="B204" s="47"/>
      <c r="C204" s="48"/>
      <c r="D204" s="127"/>
      <c r="E204" s="49"/>
      <c r="F204" s="50"/>
      <c r="G204" s="51"/>
    </row>
    <row r="205" spans="2:7">
      <c r="B205" s="47"/>
      <c r="C205" s="48"/>
      <c r="D205" s="127"/>
      <c r="E205" s="49"/>
      <c r="F205" s="50"/>
      <c r="G205" s="51"/>
    </row>
    <row r="206" spans="2:7">
      <c r="B206" s="47"/>
      <c r="C206" s="48"/>
      <c r="D206" s="127"/>
      <c r="E206" s="49"/>
      <c r="F206" s="50"/>
      <c r="G206" s="51"/>
    </row>
    <row r="207" spans="2:7">
      <c r="B207" s="47"/>
      <c r="C207" s="48"/>
      <c r="D207" s="127"/>
      <c r="E207" s="49"/>
      <c r="F207" s="50"/>
      <c r="G207" s="51"/>
    </row>
    <row r="208" spans="2:7">
      <c r="B208" s="47"/>
      <c r="C208" s="90"/>
      <c r="D208" s="127"/>
      <c r="E208" s="49"/>
      <c r="F208" s="50"/>
      <c r="G208" s="51"/>
    </row>
    <row r="209" spans="2:7">
      <c r="B209" s="47"/>
      <c r="C209" s="48"/>
      <c r="D209" s="127"/>
      <c r="E209" s="49"/>
      <c r="F209" s="50"/>
      <c r="G209" s="51"/>
    </row>
    <row r="210" spans="2:7" ht="15.6">
      <c r="B210" s="47"/>
      <c r="C210" s="48"/>
      <c r="D210" s="127"/>
      <c r="E210" s="49"/>
      <c r="F210" s="87"/>
      <c r="G210" s="88"/>
    </row>
    <row r="211" spans="2:7" ht="15.75" customHeight="1">
      <c r="B211" s="47"/>
      <c r="C211" s="48"/>
      <c r="D211" s="127"/>
      <c r="E211" s="49"/>
      <c r="F211" s="50"/>
      <c r="G211" s="51"/>
    </row>
    <row r="212" spans="2:7" ht="15.6">
      <c r="B212" s="89"/>
      <c r="C212" s="82"/>
      <c r="D212" s="127"/>
      <c r="E212" s="49"/>
      <c r="F212" s="50"/>
      <c r="G212" s="51"/>
    </row>
    <row r="213" spans="2:7" ht="15.6">
      <c r="B213" s="89"/>
      <c r="C213" s="82"/>
      <c r="D213" s="127"/>
      <c r="E213" s="49"/>
      <c r="F213" s="50"/>
      <c r="G213" s="51"/>
    </row>
    <row r="214" spans="2:7">
      <c r="B214" s="47"/>
      <c r="C214" s="48"/>
      <c r="D214" s="127"/>
      <c r="E214" s="49"/>
      <c r="F214" s="50"/>
      <c r="G214" s="51"/>
    </row>
    <row r="215" spans="2:7">
      <c r="B215" s="47"/>
      <c r="C215" s="48"/>
      <c r="D215" s="127"/>
      <c r="E215" s="49"/>
      <c r="F215" s="50"/>
      <c r="G215" s="51"/>
    </row>
    <row r="216" spans="2:7">
      <c r="B216" s="47"/>
      <c r="C216" s="48"/>
      <c r="D216" s="127"/>
      <c r="E216" s="49"/>
      <c r="F216" s="50"/>
      <c r="G216" s="51"/>
    </row>
    <row r="217" spans="2:7">
      <c r="B217" s="47"/>
      <c r="C217" s="48"/>
      <c r="D217" s="127"/>
      <c r="E217" s="49"/>
      <c r="F217" s="50"/>
      <c r="G217" s="51"/>
    </row>
    <row r="218" spans="2:7">
      <c r="B218" s="47"/>
      <c r="C218" s="48"/>
      <c r="D218" s="127"/>
      <c r="E218" s="49"/>
      <c r="F218" s="50"/>
      <c r="G218" s="51"/>
    </row>
    <row r="219" spans="2:7">
      <c r="B219" s="47"/>
      <c r="C219" s="48"/>
      <c r="D219" s="127"/>
      <c r="E219" s="49"/>
      <c r="F219" s="50"/>
      <c r="G219" s="51"/>
    </row>
    <row r="220" spans="2:7">
      <c r="B220" s="47"/>
      <c r="C220" s="48"/>
      <c r="D220" s="127"/>
      <c r="E220" s="49"/>
      <c r="F220" s="50"/>
      <c r="G220" s="51"/>
    </row>
    <row r="221" spans="2:7">
      <c r="B221" s="47"/>
      <c r="C221" s="48"/>
      <c r="D221" s="127"/>
      <c r="E221" s="49"/>
      <c r="F221" s="50"/>
      <c r="G221" s="51"/>
    </row>
    <row r="222" spans="2:7">
      <c r="B222" s="47"/>
      <c r="C222" s="48"/>
      <c r="D222" s="127"/>
      <c r="E222" s="49"/>
      <c r="F222" s="50"/>
      <c r="G222" s="51"/>
    </row>
    <row r="223" spans="2:7" ht="15.6">
      <c r="B223" s="47"/>
      <c r="C223" s="48"/>
      <c r="D223" s="127"/>
      <c r="E223" s="49"/>
      <c r="F223" s="87"/>
      <c r="G223" s="88"/>
    </row>
    <row r="224" spans="2:7" ht="15.6">
      <c r="B224" s="47"/>
      <c r="C224" s="48"/>
      <c r="D224" s="127"/>
      <c r="E224" s="49"/>
      <c r="F224" s="87"/>
      <c r="G224" s="88"/>
    </row>
    <row r="225" spans="2:7" ht="15.6">
      <c r="B225" s="47"/>
      <c r="C225" s="82"/>
      <c r="D225" s="127"/>
      <c r="E225" s="49"/>
      <c r="F225" s="87"/>
      <c r="G225" s="88"/>
    </row>
    <row r="226" spans="2:7">
      <c r="B226" s="47"/>
      <c r="C226" s="48"/>
      <c r="D226" s="127"/>
      <c r="E226" s="49"/>
      <c r="F226" s="50"/>
      <c r="G226" s="51"/>
    </row>
    <row r="227" spans="2:7">
      <c r="B227" s="47"/>
      <c r="C227" s="48"/>
      <c r="D227" s="127"/>
      <c r="E227" s="49"/>
      <c r="F227" s="50"/>
      <c r="G227" s="51"/>
    </row>
    <row r="228" spans="2:7">
      <c r="B228" s="47"/>
      <c r="C228" s="48"/>
      <c r="D228" s="127"/>
      <c r="E228" s="49"/>
      <c r="F228" s="50"/>
      <c r="G228" s="51"/>
    </row>
    <row r="229" spans="2:7" ht="16.5" customHeight="1">
      <c r="B229" s="47"/>
      <c r="C229" s="48"/>
      <c r="D229" s="127"/>
      <c r="E229" s="49"/>
      <c r="F229" s="50"/>
      <c r="G229" s="51"/>
    </row>
    <row r="230" spans="2:7">
      <c r="B230" s="47"/>
      <c r="C230" s="48"/>
      <c r="D230" s="127"/>
      <c r="E230" s="49"/>
      <c r="F230" s="50"/>
      <c r="G230" s="51"/>
    </row>
    <row r="231" spans="2:7">
      <c r="B231" s="47"/>
      <c r="C231" s="48"/>
      <c r="D231" s="127"/>
      <c r="E231" s="49"/>
      <c r="F231" s="50"/>
      <c r="G231" s="51"/>
    </row>
    <row r="232" spans="2:7">
      <c r="B232" s="47"/>
      <c r="C232" s="48"/>
      <c r="D232" s="127"/>
      <c r="E232" s="49"/>
      <c r="F232" s="50"/>
      <c r="G232" s="51"/>
    </row>
    <row r="233" spans="2:7">
      <c r="B233" s="47"/>
      <c r="C233" s="48"/>
      <c r="D233" s="127"/>
      <c r="E233" s="49"/>
      <c r="F233" s="50"/>
      <c r="G233" s="51"/>
    </row>
    <row r="234" spans="2:7">
      <c r="B234" s="47"/>
      <c r="C234" s="48"/>
      <c r="D234" s="127"/>
      <c r="E234" s="49"/>
      <c r="F234" s="50"/>
      <c r="G234" s="51"/>
    </row>
    <row r="235" spans="2:7" ht="15.6">
      <c r="B235" s="47"/>
      <c r="C235" s="48"/>
      <c r="D235" s="127"/>
      <c r="E235" s="49"/>
      <c r="F235" s="87"/>
      <c r="G235" s="88"/>
    </row>
    <row r="236" spans="2:7" ht="15.6">
      <c r="B236" s="47"/>
      <c r="C236" s="48"/>
      <c r="D236" s="127"/>
      <c r="E236" s="49"/>
      <c r="F236" s="87"/>
      <c r="G236" s="88"/>
    </row>
    <row r="237" spans="2:7" ht="15.6">
      <c r="B237" s="89"/>
      <c r="C237" s="82"/>
      <c r="D237" s="127"/>
      <c r="E237" s="49"/>
      <c r="F237" s="50"/>
      <c r="G237" s="51"/>
    </row>
    <row r="238" spans="2:7">
      <c r="B238" s="47"/>
      <c r="C238" s="48"/>
      <c r="D238" s="127"/>
      <c r="E238" s="49"/>
      <c r="F238" s="50"/>
      <c r="G238" s="51"/>
    </row>
    <row r="239" spans="2:7">
      <c r="B239" s="47"/>
      <c r="C239" s="48"/>
      <c r="D239" s="127"/>
      <c r="E239" s="49"/>
      <c r="F239" s="50"/>
      <c r="G239" s="51"/>
    </row>
    <row r="240" spans="2:7">
      <c r="B240" s="47"/>
      <c r="C240" s="2"/>
      <c r="D240" s="127"/>
      <c r="E240" s="49"/>
      <c r="F240" s="50"/>
      <c r="G240" s="51"/>
    </row>
    <row r="241" spans="2:8" ht="16.2" thickBot="1">
      <c r="B241" s="47"/>
      <c r="C241" s="91"/>
      <c r="D241" s="127"/>
      <c r="E241" s="49"/>
      <c r="F241" s="92"/>
      <c r="G241" s="93"/>
    </row>
    <row r="242" spans="2:8" ht="16.8" thickTop="1" thickBot="1">
      <c r="B242" s="264"/>
      <c r="C242" s="265"/>
      <c r="D242" s="266"/>
      <c r="E242" s="270"/>
      <c r="F242" s="271"/>
      <c r="G242" s="100"/>
      <c r="H242" s="101"/>
    </row>
    <row r="243" spans="2:8" ht="16.2" thickBot="1">
      <c r="B243" s="267"/>
      <c r="C243" s="268"/>
      <c r="D243" s="269"/>
      <c r="E243" s="272"/>
      <c r="F243" s="273"/>
      <c r="G243" s="102"/>
      <c r="H243" s="103"/>
    </row>
    <row r="244" spans="2:8" ht="16.2" thickBot="1">
      <c r="B244" s="267"/>
      <c r="C244" s="268"/>
      <c r="D244" s="269"/>
      <c r="E244" s="272"/>
      <c r="F244" s="273"/>
      <c r="G244" s="104"/>
      <c r="H244" s="105"/>
    </row>
    <row r="245" spans="2:8" ht="16.2" thickBot="1">
      <c r="B245" s="267"/>
      <c r="C245" s="268"/>
      <c r="D245" s="269"/>
      <c r="E245" s="272"/>
      <c r="F245" s="273"/>
      <c r="G245" s="104"/>
      <c r="H245" s="105"/>
    </row>
    <row r="262" ht="16.5" customHeight="1"/>
  </sheetData>
  <mergeCells count="54">
    <mergeCell ref="B3:H3"/>
    <mergeCell ref="B4:H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M6:M7"/>
    <mergeCell ref="B50:E50"/>
    <mergeCell ref="B35:E39"/>
    <mergeCell ref="F35:G35"/>
    <mergeCell ref="F38:G38"/>
    <mergeCell ref="F39:G39"/>
    <mergeCell ref="L39:N39"/>
    <mergeCell ref="F37:G37"/>
    <mergeCell ref="F36:G36"/>
    <mergeCell ref="B51:E51"/>
    <mergeCell ref="B52:E52"/>
    <mergeCell ref="B54:B55"/>
    <mergeCell ref="C54:C55"/>
    <mergeCell ref="D54:D55"/>
    <mergeCell ref="E54:E55"/>
    <mergeCell ref="B104:C104"/>
    <mergeCell ref="B114:G114"/>
    <mergeCell ref="B115:G115"/>
    <mergeCell ref="B116:G116"/>
    <mergeCell ref="B119:B120"/>
    <mergeCell ref="C119:C120"/>
    <mergeCell ref="D119:D120"/>
    <mergeCell ref="E119:E120"/>
    <mergeCell ref="F119:F120"/>
    <mergeCell ref="G119:G120"/>
    <mergeCell ref="B171:D175"/>
    <mergeCell ref="E171:F171"/>
    <mergeCell ref="E172:F172"/>
    <mergeCell ref="E173:F173"/>
    <mergeCell ref="E174:F174"/>
    <mergeCell ref="E175:F175"/>
    <mergeCell ref="G190:G191"/>
    <mergeCell ref="B242:D245"/>
    <mergeCell ref="E242:F242"/>
    <mergeCell ref="E243:F243"/>
    <mergeCell ref="E244:F244"/>
    <mergeCell ref="E245:F245"/>
    <mergeCell ref="B190:B191"/>
    <mergeCell ref="C190:C191"/>
    <mergeCell ref="D190:D191"/>
    <mergeCell ref="E190:E191"/>
    <mergeCell ref="F190:F191"/>
  </mergeCells>
  <printOptions horizontalCentered="1"/>
  <pageMargins left="0" right="0" top="0.82677165354330717" bottom="0" header="0.51181102362204722" footer="0.51181102362204722"/>
  <pageSetup paperSize="9" scale="70" firstPageNumber="4294963191" fitToWidth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Breakdown (2)</vt:lpstr>
      <vt:lpstr>RAB (2)</vt:lpstr>
      <vt:lpstr>'Breakdown (2)'!Print_Area</vt:lpstr>
      <vt:lpstr>'RAB (2)'!Print_Area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2025-05-06T23:54:55Z</cp:lastPrinted>
  <dcterms:created xsi:type="dcterms:W3CDTF">2018-07-11T00:45:25Z</dcterms:created>
  <dcterms:modified xsi:type="dcterms:W3CDTF">2025-05-06T23:55:03Z</dcterms:modified>
</cp:coreProperties>
</file>