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-120" yWindow="-120" windowWidth="20640" windowHeight="11160"/>
  </bookViews>
  <sheets>
    <sheet name="RAB" sheetId="1" r:id="rId1"/>
    <sheet name="Analisa" sheetId="5" r:id="rId2"/>
    <sheet name="Drawing" sheetId="6" r:id="rId3"/>
  </sheets>
  <definedNames>
    <definedName name="_xlnm.Print_Area" localSheetId="1">Analisa!$A$1:$H$52</definedName>
    <definedName name="_xlnm.Print_Area" localSheetId="2">Drawing!$B$3:$T$41</definedName>
    <definedName name="_xlnm.Print_Area" localSheetId="0">RAB!$B$1:$H$62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57" i="1"/>
  <c r="AD57"/>
  <c r="AL56"/>
  <c r="AK56"/>
  <c r="AK57" s="1"/>
  <c r="AJ56"/>
  <c r="AJ57" s="1"/>
  <c r="AI56"/>
  <c r="AI57" s="1"/>
  <c r="AH56"/>
  <c r="AH57" s="1"/>
  <c r="AG56"/>
  <c r="AG57" s="1"/>
  <c r="AF56"/>
  <c r="AF57" s="1"/>
  <c r="AE56"/>
  <c r="AE57" s="1"/>
  <c r="AB59" l="1"/>
  <c r="G16" l="1"/>
  <c r="H16" s="1"/>
  <c r="H17"/>
  <c r="H49" i="5"/>
  <c r="H48"/>
  <c r="H47"/>
  <c r="H44"/>
  <c r="H41"/>
  <c r="H40"/>
  <c r="H39"/>
  <c r="H38"/>
  <c r="H37"/>
  <c r="H47" i="1"/>
  <c r="D45"/>
  <c r="H45" s="1"/>
  <c r="D41"/>
  <c r="H41" s="1"/>
  <c r="D40"/>
  <c r="H40" s="1"/>
  <c r="H44"/>
  <c r="H43"/>
  <c r="G14"/>
  <c r="H14" s="1"/>
  <c r="H42"/>
  <c r="D38"/>
  <c r="H38" s="1"/>
  <c r="D39"/>
  <c r="H39" s="1"/>
  <c r="H36"/>
  <c r="D37"/>
  <c r="H37" s="1"/>
  <c r="D34"/>
  <c r="D35"/>
  <c r="H35" s="1"/>
  <c r="H23" i="5"/>
  <c r="H22"/>
  <c r="H21"/>
  <c r="H18"/>
  <c r="H17"/>
  <c r="H16"/>
  <c r="H13"/>
  <c r="H12"/>
  <c r="H11"/>
  <c r="H10"/>
  <c r="H9"/>
  <c r="D29" i="1"/>
  <c r="H29" s="1"/>
  <c r="D27"/>
  <c r="D30"/>
  <c r="H30" s="1"/>
  <c r="D11"/>
  <c r="G10"/>
  <c r="H13"/>
  <c r="H18"/>
  <c r="H15"/>
  <c r="H25" i="5" l="1"/>
  <c r="G22" i="1" s="1"/>
  <c r="H51" i="5"/>
  <c r="G46" i="1" s="1"/>
  <c r="H46" s="1"/>
  <c r="D28"/>
  <c r="H28" s="1"/>
  <c r="H27"/>
  <c r="H11"/>
  <c r="H31" l="1"/>
  <c r="H10"/>
  <c r="H19" s="1"/>
  <c r="H12"/>
  <c r="H22"/>
  <c r="H23"/>
  <c r="H34"/>
  <c r="H48" s="1"/>
  <c r="H24" l="1"/>
  <c r="H50" s="1"/>
  <c r="H51" l="1"/>
  <c r="H52" s="1"/>
  <c r="H53" s="1"/>
</calcChain>
</file>

<file path=xl/sharedStrings.xml><?xml version="1.0" encoding="utf-8"?>
<sst xmlns="http://schemas.openxmlformats.org/spreadsheetml/2006/main" count="214" uniqueCount="121">
  <si>
    <t>NO</t>
  </si>
  <si>
    <t>NAMA BAHAN</t>
  </si>
  <si>
    <t>VOL</t>
  </si>
  <si>
    <t xml:space="preserve">SATUAN </t>
  </si>
  <si>
    <t>ANALISA</t>
  </si>
  <si>
    <t xml:space="preserve">HARGA </t>
  </si>
  <si>
    <t xml:space="preserve">JUMLAH </t>
  </si>
  <si>
    <t>SATUAN</t>
  </si>
  <si>
    <t>HARGA</t>
  </si>
  <si>
    <t>I</t>
  </si>
  <si>
    <t>MATERIAL</t>
  </si>
  <si>
    <t>Meter</t>
  </si>
  <si>
    <t>Tabel</t>
  </si>
  <si>
    <t>Jumlah</t>
  </si>
  <si>
    <t>II</t>
  </si>
  <si>
    <t>Buah</t>
  </si>
  <si>
    <t>III</t>
  </si>
  <si>
    <t>Ls</t>
  </si>
  <si>
    <t>IV</t>
  </si>
  <si>
    <t>Hitung</t>
  </si>
  <si>
    <t>Alamat      : Jl. Pasar IV Timur Marelan</t>
  </si>
  <si>
    <t>Plat steel t= 6 mm 1,2 x 2,4 m</t>
  </si>
  <si>
    <t>Pipa steel dia. 600 mm t= 6,3 mm</t>
  </si>
  <si>
    <t>lembar</t>
  </si>
  <si>
    <t>kg</t>
  </si>
  <si>
    <t>Flange steel dia. 600 mm t= 12 mm</t>
  </si>
  <si>
    <t>Blind Flange steel dia. 600 mm t= 12 mm</t>
  </si>
  <si>
    <t>batang</t>
  </si>
  <si>
    <t>buah</t>
  </si>
  <si>
    <t>Plat steel t= 12 mm 0,5 x 0,5 m</t>
  </si>
  <si>
    <t>PEKERJAAN PERSIAPAN</t>
  </si>
  <si>
    <t>Pembongkaran Tangki lama</t>
  </si>
  <si>
    <t>Pembersihan lokasi</t>
  </si>
  <si>
    <t>PEKERJAAN PONDASI</t>
  </si>
  <si>
    <t>Galian tanah keras</t>
  </si>
  <si>
    <t>Meter3</t>
  </si>
  <si>
    <t>Pembesian Pondasi</t>
  </si>
  <si>
    <t>Cor beton 1:2:3</t>
  </si>
  <si>
    <t>PT 6.4</t>
  </si>
  <si>
    <t>PB 6.12</t>
  </si>
  <si>
    <t>Bekisting Pondasi</t>
  </si>
  <si>
    <t>Meter2</t>
  </si>
  <si>
    <t>Jenis Pekerjaan</t>
  </si>
  <si>
    <t>:</t>
  </si>
  <si>
    <t>Satuan</t>
  </si>
  <si>
    <t>Harga Satuan</t>
  </si>
  <si>
    <t>Rp</t>
  </si>
  <si>
    <t>Sumber</t>
  </si>
  <si>
    <t>No.</t>
  </si>
  <si>
    <t>Volume</t>
  </si>
  <si>
    <t>A.</t>
  </si>
  <si>
    <t>Upah</t>
  </si>
  <si>
    <t>B.</t>
  </si>
  <si>
    <t>C.</t>
  </si>
  <si>
    <t>Alat</t>
  </si>
  <si>
    <t>Unit</t>
  </si>
  <si>
    <t>Gerinda</t>
  </si>
  <si>
    <t>Bahan Habis pakai</t>
  </si>
  <si>
    <t>Truck Crane</t>
  </si>
  <si>
    <t>Oksigen</t>
  </si>
  <si>
    <t>Elpiji</t>
  </si>
  <si>
    <t>Batu Gerinda</t>
  </si>
  <si>
    <t>Pekerja</t>
  </si>
  <si>
    <t>Tukang</t>
  </si>
  <si>
    <t>Kepala  Tukang</t>
  </si>
  <si>
    <t>Mandor</t>
  </si>
  <si>
    <t>Operator Crane</t>
  </si>
  <si>
    <t>Hrg Satuan</t>
  </si>
  <si>
    <t>OH</t>
  </si>
  <si>
    <t>Tabung</t>
  </si>
  <si>
    <t>Set</t>
  </si>
  <si>
    <t>jam</t>
  </si>
  <si>
    <t xml:space="preserve"> DAFTAR ANALISA</t>
  </si>
  <si>
    <t>Jlh. Harga</t>
  </si>
  <si>
    <t>Uraian</t>
  </si>
  <si>
    <t>unit</t>
  </si>
  <si>
    <t>Alat potong Blander, tabung Oksigen dan Elpiji</t>
  </si>
  <si>
    <t>PB 6.3.A.1</t>
  </si>
  <si>
    <t>PB 6.15</t>
  </si>
  <si>
    <t>Pemotongan plat t= 6 mm</t>
  </si>
  <si>
    <t>Rol plat dia. 2,2 m</t>
  </si>
  <si>
    <t>Rol</t>
  </si>
  <si>
    <t>Pengelasan plat dinding tangki</t>
  </si>
  <si>
    <t>Meter'</t>
  </si>
  <si>
    <t>Pengelasan plat tutup atas dan bawah 2x las</t>
  </si>
  <si>
    <t>Pemotongan Pipa Manhole</t>
  </si>
  <si>
    <t>Pembuatan Engsel Tutup Manhole</t>
  </si>
  <si>
    <t>Pengelasan Blind Flange dan Pipa</t>
  </si>
  <si>
    <t>Pengecatan Tangki</t>
  </si>
  <si>
    <t>Pipa steel dia. 1"</t>
  </si>
  <si>
    <t>Elbow besi dia. 1"</t>
  </si>
  <si>
    <t>Pembuatan Handle Lifting Lug</t>
  </si>
  <si>
    <t>Pemasangan Kran Outlet dia. 1"</t>
  </si>
  <si>
    <t>PC 6.11</t>
  </si>
  <si>
    <t>Pemotongan pipa dia. 1" tangga</t>
  </si>
  <si>
    <t>Pengelasan pipa dia. 1" tangga</t>
  </si>
  <si>
    <t>Pemasangan Tangki pada Pondasi</t>
  </si>
  <si>
    <t>PEKERJAAN PEMBUATAN TANGKI DAN PEMASANGAN</t>
  </si>
  <si>
    <t>Transport Material dan Peralatan</t>
  </si>
  <si>
    <t>Pemasangan Tangki Baru</t>
  </si>
  <si>
    <t>PPn 10%</t>
  </si>
  <si>
    <t>Grand Total</t>
  </si>
  <si>
    <t>Dibulatkan</t>
  </si>
  <si>
    <t>JUMLAH I + II + III + IV</t>
  </si>
  <si>
    <t>Dynabolt m20  x 100 mm</t>
  </si>
  <si>
    <t>Tool Set, Mesin Bor</t>
  </si>
  <si>
    <t xml:space="preserve">Ball Valve 1" </t>
  </si>
  <si>
    <t>Terbilang : Enam puluh tujuh juta tiga puluh sembilan ribu rupiah</t>
  </si>
  <si>
    <t>Medan,            November 2021</t>
  </si>
  <si>
    <t>Dihitung oleh,</t>
  </si>
  <si>
    <t>Nurleli</t>
  </si>
  <si>
    <t>Muhri Fepri Iswanto</t>
  </si>
  <si>
    <t>Julfan Fadhli</t>
  </si>
  <si>
    <t>Kadiv. Perencanaan Air Minum</t>
  </si>
  <si>
    <t>Kadiv. Transmisi Distribusi</t>
  </si>
  <si>
    <t>Kabid. Operasional Pompa</t>
  </si>
  <si>
    <t>RENCANA ANGGARAN BIAYA PEKERJAAN</t>
  </si>
  <si>
    <t>LOKASI: BOOSTER MARELAN</t>
  </si>
  <si>
    <t>PENGGANTIAN TANGKI SOLAR KAPASITAS 9000 LITER</t>
  </si>
  <si>
    <t>Diketahui oleh,</t>
  </si>
  <si>
    <t>Disyahkan oleh,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</si>
</sst>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_-;\-* #,##0_-;_-* &quot;-&quot;_-;_-@_-"/>
    <numFmt numFmtId="165" formatCode="#,##0.00;[Red]#,##0.00"/>
    <numFmt numFmtId="166" formatCode="_-* #,##0.00_-;\-* #,##0.00_-;_-* &quot;-&quot;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Calibri"/>
      <family val="2"/>
    </font>
    <font>
      <sz val="9"/>
      <color indexed="8"/>
      <name val="Calibri"/>
      <family val="2"/>
    </font>
    <font>
      <b/>
      <u/>
      <sz val="12"/>
      <name val="Calibri"/>
      <family val="2"/>
    </font>
    <font>
      <b/>
      <sz val="26"/>
      <name val="Calibri"/>
      <family val="2"/>
    </font>
    <font>
      <b/>
      <sz val="20"/>
      <name val="Calibri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3" xfId="0" applyFont="1" applyBorder="1"/>
    <xf numFmtId="165" fontId="4" fillId="0" borderId="4" xfId="0" applyNumberFormat="1" applyFont="1" applyBorder="1"/>
    <xf numFmtId="166" fontId="4" fillId="0" borderId="0" xfId="1" applyNumberFormat="1" applyFont="1"/>
    <xf numFmtId="166" fontId="0" fillId="0" borderId="0" xfId="1" applyNumberFormat="1" applyFont="1"/>
    <xf numFmtId="0" fontId="3" fillId="0" borderId="5" xfId="0" applyFont="1" applyBorder="1"/>
    <xf numFmtId="0" fontId="4" fillId="0" borderId="5" xfId="0" applyFont="1" applyBorder="1"/>
    <xf numFmtId="166" fontId="4" fillId="0" borderId="5" xfId="1" applyNumberFormat="1" applyFont="1" applyBorder="1"/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166" fontId="4" fillId="0" borderId="6" xfId="1" applyNumberFormat="1" applyFont="1" applyBorder="1"/>
    <xf numFmtId="0" fontId="3" fillId="0" borderId="6" xfId="0" applyFont="1" applyBorder="1"/>
    <xf numFmtId="0" fontId="5" fillId="0" borderId="6" xfId="0" applyFont="1" applyBorder="1"/>
    <xf numFmtId="0" fontId="3" fillId="0" borderId="7" xfId="0" applyFont="1" applyBorder="1"/>
    <xf numFmtId="0" fontId="4" fillId="0" borderId="7" xfId="0" applyFont="1" applyBorder="1"/>
    <xf numFmtId="166" fontId="4" fillId="0" borderId="7" xfId="1" applyNumberFormat="1" applyFont="1" applyBorder="1"/>
    <xf numFmtId="165" fontId="2" fillId="0" borderId="6" xfId="2" applyNumberFormat="1" applyFont="1" applyBorder="1" applyAlignment="1">
      <alignment vertical="center"/>
    </xf>
    <xf numFmtId="165" fontId="3" fillId="0" borderId="6" xfId="0" applyNumberFormat="1" applyFont="1" applyBorder="1"/>
    <xf numFmtId="165" fontId="3" fillId="0" borderId="7" xfId="0" applyNumberFormat="1" applyFont="1" applyBorder="1"/>
    <xf numFmtId="166" fontId="4" fillId="0" borderId="6" xfId="1" applyNumberFormat="1" applyFont="1" applyBorder="1" applyAlignment="1">
      <alignment horizontal="center"/>
    </xf>
    <xf numFmtId="166" fontId="0" fillId="0" borderId="0" xfId="1" applyNumberFormat="1" applyFont="1" applyAlignment="1">
      <alignment horizontal="center"/>
    </xf>
    <xf numFmtId="0" fontId="0" fillId="0" borderId="13" xfId="0" applyBorder="1"/>
    <xf numFmtId="166" fontId="6" fillId="0" borderId="13" xfId="1" applyNumberFormat="1" applyFont="1" applyBorder="1"/>
    <xf numFmtId="166" fontId="0" fillId="0" borderId="13" xfId="1" applyNumberFormat="1" applyFont="1" applyBorder="1" applyAlignment="1">
      <alignment horizontal="center"/>
    </xf>
    <xf numFmtId="166" fontId="0" fillId="0" borderId="13" xfId="1" applyNumberFormat="1" applyFont="1" applyBorder="1"/>
    <xf numFmtId="0" fontId="6" fillId="0" borderId="13" xfId="0" applyFont="1" applyBorder="1" applyAlignment="1">
      <alignment horizontal="center"/>
    </xf>
    <xf numFmtId="166" fontId="6" fillId="0" borderId="13" xfId="1" applyNumberFormat="1" applyFont="1" applyBorder="1" applyAlignment="1">
      <alignment horizontal="center"/>
    </xf>
    <xf numFmtId="0" fontId="6" fillId="0" borderId="13" xfId="0" applyFont="1" applyBorder="1"/>
    <xf numFmtId="0" fontId="0" fillId="0" borderId="14" xfId="0" applyBorder="1"/>
    <xf numFmtId="0" fontId="0" fillId="0" borderId="15" xfId="0" applyBorder="1"/>
    <xf numFmtId="166" fontId="6" fillId="0" borderId="15" xfId="1" applyNumberFormat="1" applyFont="1" applyBorder="1"/>
    <xf numFmtId="166" fontId="0" fillId="0" borderId="15" xfId="1" applyNumberFormat="1" applyFont="1" applyBorder="1" applyAlignment="1">
      <alignment horizontal="center"/>
    </xf>
    <xf numFmtId="166" fontId="0" fillId="0" borderId="15" xfId="1" applyNumberFormat="1" applyFont="1" applyBorder="1"/>
    <xf numFmtId="166" fontId="0" fillId="0" borderId="16" xfId="1" applyNumberFormat="1" applyFont="1" applyBorder="1"/>
    <xf numFmtId="0" fontId="0" fillId="0" borderId="3" xfId="0" applyBorder="1"/>
    <xf numFmtId="0" fontId="0" fillId="0" borderId="0" xfId="0" applyBorder="1"/>
    <xf numFmtId="166" fontId="0" fillId="0" borderId="0" xfId="1" applyNumberFormat="1" applyFont="1" applyBorder="1"/>
    <xf numFmtId="166" fontId="0" fillId="0" borderId="0" xfId="1" applyNumberFormat="1" applyFont="1" applyBorder="1" applyAlignment="1">
      <alignment horizontal="center"/>
    </xf>
    <xf numFmtId="166" fontId="0" fillId="0" borderId="17" xfId="1" applyNumberFormat="1" applyFont="1" applyBorder="1"/>
    <xf numFmtId="0" fontId="0" fillId="0" borderId="18" xfId="0" applyBorder="1"/>
    <xf numFmtId="0" fontId="0" fillId="0" borderId="19" xfId="0" applyBorder="1"/>
    <xf numFmtId="166" fontId="0" fillId="0" borderId="19" xfId="1" applyNumberFormat="1" applyFont="1" applyBorder="1"/>
    <xf numFmtId="166" fontId="0" fillId="0" borderId="19" xfId="1" applyNumberFormat="1" applyFont="1" applyBorder="1" applyAlignment="1">
      <alignment horizontal="center"/>
    </xf>
    <xf numFmtId="166" fontId="0" fillId="0" borderId="20" xfId="1" applyNumberFormat="1" applyFont="1" applyBorder="1"/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1" xfId="0" applyFont="1" applyBorder="1"/>
    <xf numFmtId="0" fontId="0" fillId="0" borderId="22" xfId="0" applyBorder="1"/>
    <xf numFmtId="0" fontId="0" fillId="0" borderId="21" xfId="0" applyBorder="1"/>
    <xf numFmtId="165" fontId="3" fillId="0" borderId="4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/>
    </xf>
    <xf numFmtId="166" fontId="3" fillId="0" borderId="2" xfId="1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3" fontId="9" fillId="0" borderId="0" xfId="3" applyFont="1"/>
    <xf numFmtId="43" fontId="9" fillId="0" borderId="0" xfId="3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43" fontId="9" fillId="0" borderId="0" xfId="3" applyFont="1" applyAlignment="1">
      <alignment horizontal="centerContinuous"/>
    </xf>
    <xf numFmtId="0" fontId="4" fillId="0" borderId="0" xfId="0" applyFont="1" applyBorder="1"/>
  </cellXfs>
  <cellStyles count="4">
    <cellStyle name="Comma" xfId="3" builtinId="3"/>
    <cellStyle name="Comma [0]" xfId="1" builtinId="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38100</xdr:rowOff>
    </xdr:from>
    <xdr:to>
      <xdr:col>19</xdr:col>
      <xdr:colOff>190500</xdr:colOff>
      <xdr:row>40</xdr:row>
      <xdr:rowOff>133350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8264" t="9556" r="11042" b="4889"/>
        <a:stretch>
          <a:fillRect/>
        </a:stretch>
      </xdr:blipFill>
      <xdr:spPr bwMode="auto">
        <a:xfrm>
          <a:off x="704850" y="419100"/>
          <a:ext cx="11068050" cy="7334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L63"/>
  <sheetViews>
    <sheetView tabSelected="1" zoomScaleNormal="100" workbookViewId="0">
      <selection activeCell="B1" sqref="B1:H62"/>
    </sheetView>
  </sheetViews>
  <sheetFormatPr defaultRowHeight="15"/>
  <cols>
    <col min="2" max="2" width="6.5703125" customWidth="1"/>
    <col min="3" max="3" width="43.85546875" customWidth="1"/>
    <col min="4" max="4" width="8.5703125" style="8" customWidth="1"/>
    <col min="5" max="5" width="10.28515625" customWidth="1"/>
    <col min="6" max="6" width="11.140625" customWidth="1"/>
    <col min="7" max="7" width="15.28515625" customWidth="1"/>
    <col min="8" max="8" width="15.7109375" customWidth="1"/>
  </cols>
  <sheetData>
    <row r="1" spans="2:9" s="78" customFormat="1" ht="33.75">
      <c r="B1" s="83" t="s">
        <v>116</v>
      </c>
      <c r="C1" s="83"/>
      <c r="D1" s="83"/>
      <c r="E1" s="83"/>
      <c r="F1" s="83"/>
      <c r="G1" s="83"/>
      <c r="H1" s="83"/>
      <c r="I1" s="80"/>
    </row>
    <row r="2" spans="2:9" s="78" customFormat="1" ht="24.75" customHeight="1">
      <c r="B2" s="84" t="s">
        <v>118</v>
      </c>
      <c r="C2" s="84"/>
      <c r="D2" s="84"/>
      <c r="E2" s="84"/>
      <c r="F2" s="84"/>
      <c r="G2" s="84"/>
      <c r="H2" s="84"/>
      <c r="I2" s="81"/>
    </row>
    <row r="3" spans="2:9" s="78" customFormat="1" ht="26.25">
      <c r="B3" s="85" t="s">
        <v>117</v>
      </c>
      <c r="C3" s="85"/>
      <c r="D3" s="85"/>
      <c r="E3" s="85"/>
      <c r="F3" s="85"/>
      <c r="G3" s="85"/>
      <c r="H3" s="85"/>
      <c r="I3" s="82"/>
    </row>
    <row r="5" spans="2:9" ht="15.75">
      <c r="B5" s="3" t="s">
        <v>20</v>
      </c>
      <c r="C5" s="1"/>
      <c r="D5" s="7"/>
      <c r="E5" s="2"/>
      <c r="F5" s="2"/>
      <c r="G5" s="2"/>
      <c r="H5" s="2"/>
    </row>
    <row r="6" spans="2:9" ht="16.5" thickBot="1">
      <c r="B6" s="2"/>
      <c r="C6" s="2"/>
      <c r="D6" s="7"/>
      <c r="E6" s="2"/>
      <c r="F6" s="2"/>
      <c r="G6" s="2"/>
      <c r="H6" s="2"/>
    </row>
    <row r="7" spans="2:9" ht="15.75">
      <c r="B7" s="57" t="s">
        <v>0</v>
      </c>
      <c r="C7" s="57" t="s">
        <v>1</v>
      </c>
      <c r="D7" s="59" t="s">
        <v>2</v>
      </c>
      <c r="E7" s="57" t="s">
        <v>3</v>
      </c>
      <c r="F7" s="57" t="s">
        <v>4</v>
      </c>
      <c r="G7" s="54" t="s">
        <v>5</v>
      </c>
      <c r="H7" s="54" t="s">
        <v>6</v>
      </c>
    </row>
    <row r="8" spans="2:9" ht="16.5" thickBot="1">
      <c r="B8" s="58"/>
      <c r="C8" s="58"/>
      <c r="D8" s="60"/>
      <c r="E8" s="58"/>
      <c r="F8" s="58"/>
      <c r="G8" s="55" t="s">
        <v>7</v>
      </c>
      <c r="H8" s="55" t="s">
        <v>8</v>
      </c>
    </row>
    <row r="9" spans="2:9" ht="15.75">
      <c r="B9" s="9" t="s">
        <v>9</v>
      </c>
      <c r="C9" s="9" t="s">
        <v>10</v>
      </c>
      <c r="D9" s="11"/>
      <c r="E9" s="10"/>
      <c r="F9" s="10"/>
      <c r="G9" s="10"/>
      <c r="H9" s="10"/>
    </row>
    <row r="10" spans="2:9" ht="15.75">
      <c r="B10" s="12">
        <v>1</v>
      </c>
      <c r="C10" s="12" t="s">
        <v>21</v>
      </c>
      <c r="D10" s="23">
        <v>9</v>
      </c>
      <c r="E10" s="13" t="s">
        <v>23</v>
      </c>
      <c r="F10" s="13" t="s">
        <v>12</v>
      </c>
      <c r="G10" s="20">
        <f>140*21300</f>
        <v>2982000</v>
      </c>
      <c r="H10" s="20">
        <f t="shared" ref="H10:H12" si="0">D10*G10</f>
        <v>26838000</v>
      </c>
    </row>
    <row r="11" spans="2:9" ht="15.75">
      <c r="B11" s="12">
        <v>2</v>
      </c>
      <c r="C11" s="12" t="s">
        <v>29</v>
      </c>
      <c r="D11" s="23">
        <f>0.5*0.5*0.012*7850</f>
        <v>23.55</v>
      </c>
      <c r="E11" s="13" t="s">
        <v>24</v>
      </c>
      <c r="F11" s="13" t="s">
        <v>12</v>
      </c>
      <c r="G11" s="20">
        <v>21300</v>
      </c>
      <c r="H11" s="20">
        <f t="shared" ref="H11" si="1">D11*G11</f>
        <v>501615</v>
      </c>
    </row>
    <row r="12" spans="2:9" ht="15.75">
      <c r="B12" s="12">
        <v>3</v>
      </c>
      <c r="C12" s="12" t="s">
        <v>25</v>
      </c>
      <c r="D12" s="23">
        <v>1</v>
      </c>
      <c r="E12" s="13" t="s">
        <v>28</v>
      </c>
      <c r="F12" s="13" t="s">
        <v>19</v>
      </c>
      <c r="G12" s="20">
        <v>1500000</v>
      </c>
      <c r="H12" s="20">
        <f t="shared" si="0"/>
        <v>1500000</v>
      </c>
    </row>
    <row r="13" spans="2:9" ht="15.75">
      <c r="B13" s="12">
        <v>4</v>
      </c>
      <c r="C13" s="12" t="s">
        <v>26</v>
      </c>
      <c r="D13" s="23">
        <v>1</v>
      </c>
      <c r="E13" s="13" t="s">
        <v>28</v>
      </c>
      <c r="F13" s="13" t="s">
        <v>19</v>
      </c>
      <c r="G13" s="20">
        <v>1500000</v>
      </c>
      <c r="H13" s="20">
        <f t="shared" ref="H13" si="2">D13*G13</f>
        <v>1500000</v>
      </c>
    </row>
    <row r="14" spans="2:9" ht="15.75">
      <c r="B14" s="12">
        <v>5</v>
      </c>
      <c r="C14" s="12" t="s">
        <v>89</v>
      </c>
      <c r="D14" s="23">
        <v>2</v>
      </c>
      <c r="E14" s="13" t="s">
        <v>27</v>
      </c>
      <c r="F14" s="13" t="s">
        <v>12</v>
      </c>
      <c r="G14" s="20">
        <f>53273*6</f>
        <v>319638</v>
      </c>
      <c r="H14" s="20">
        <f t="shared" ref="H14:H18" si="3">D14*G14</f>
        <v>639276</v>
      </c>
    </row>
    <row r="15" spans="2:9" ht="15.75">
      <c r="B15" s="12">
        <v>6</v>
      </c>
      <c r="C15" s="12" t="s">
        <v>90</v>
      </c>
      <c r="D15" s="23">
        <v>5</v>
      </c>
      <c r="E15" s="13" t="s">
        <v>28</v>
      </c>
      <c r="F15" s="13" t="s">
        <v>12</v>
      </c>
      <c r="G15" s="20">
        <v>18000</v>
      </c>
      <c r="H15" s="20">
        <f t="shared" si="3"/>
        <v>90000</v>
      </c>
    </row>
    <row r="16" spans="2:9" ht="15.75">
      <c r="B16" s="12">
        <v>7</v>
      </c>
      <c r="C16" s="12" t="s">
        <v>106</v>
      </c>
      <c r="D16" s="23">
        <v>1</v>
      </c>
      <c r="E16" s="13" t="s">
        <v>28</v>
      </c>
      <c r="F16" s="13" t="s">
        <v>19</v>
      </c>
      <c r="G16" s="20">
        <f>195000*1.13</f>
        <v>220349.99999999997</v>
      </c>
      <c r="H16" s="20">
        <f t="shared" ref="H16" si="4">D16*G16</f>
        <v>220349.99999999997</v>
      </c>
    </row>
    <row r="17" spans="2:8" ht="15.75">
      <c r="B17" s="12">
        <v>8</v>
      </c>
      <c r="C17" s="12" t="s">
        <v>104</v>
      </c>
      <c r="D17" s="23">
        <v>4</v>
      </c>
      <c r="E17" s="13" t="s">
        <v>28</v>
      </c>
      <c r="F17" s="13" t="s">
        <v>12</v>
      </c>
      <c r="G17" s="20">
        <v>15000</v>
      </c>
      <c r="H17" s="20">
        <f t="shared" si="3"/>
        <v>60000</v>
      </c>
    </row>
    <row r="18" spans="2:8" ht="15.75">
      <c r="B18" s="12">
        <v>9</v>
      </c>
      <c r="C18" s="12" t="s">
        <v>22</v>
      </c>
      <c r="D18" s="23">
        <v>0.2</v>
      </c>
      <c r="E18" s="13" t="s">
        <v>11</v>
      </c>
      <c r="F18" s="13" t="s">
        <v>12</v>
      </c>
      <c r="G18" s="20">
        <v>2011175</v>
      </c>
      <c r="H18" s="20">
        <f t="shared" si="3"/>
        <v>402235</v>
      </c>
    </row>
    <row r="19" spans="2:8" ht="15.75">
      <c r="B19" s="12"/>
      <c r="C19" s="12"/>
      <c r="D19" s="23"/>
      <c r="E19" s="13"/>
      <c r="F19" s="13"/>
      <c r="G19" s="12" t="s">
        <v>13</v>
      </c>
      <c r="H19" s="21">
        <f>SUM(H10:H18)</f>
        <v>31751476</v>
      </c>
    </row>
    <row r="20" spans="2:8" ht="15.75">
      <c r="B20" s="12"/>
      <c r="C20" s="12"/>
      <c r="D20" s="23"/>
      <c r="E20" s="13"/>
      <c r="F20" s="13"/>
      <c r="G20" s="12"/>
      <c r="H20" s="21"/>
    </row>
    <row r="21" spans="2:8" ht="15.75">
      <c r="B21" s="15" t="s">
        <v>14</v>
      </c>
      <c r="C21" s="15" t="s">
        <v>30</v>
      </c>
      <c r="D21" s="23"/>
      <c r="E21" s="13"/>
      <c r="F21" s="13"/>
      <c r="G21" s="12"/>
      <c r="H21" s="12"/>
    </row>
    <row r="22" spans="2:8" ht="15.75">
      <c r="B22" s="16">
        <v>1</v>
      </c>
      <c r="C22" s="12" t="s">
        <v>31</v>
      </c>
      <c r="D22" s="23">
        <v>1</v>
      </c>
      <c r="E22" s="13" t="s">
        <v>75</v>
      </c>
      <c r="F22" s="13" t="s">
        <v>19</v>
      </c>
      <c r="G22" s="20">
        <f>+Analisa!H25</f>
        <v>4203000</v>
      </c>
      <c r="H22" s="20">
        <f>D22*G22</f>
        <v>4203000</v>
      </c>
    </row>
    <row r="23" spans="2:8" ht="15.75">
      <c r="B23" s="12">
        <v>2</v>
      </c>
      <c r="C23" s="12" t="s">
        <v>32</v>
      </c>
      <c r="D23" s="23">
        <v>5</v>
      </c>
      <c r="E23" s="13" t="s">
        <v>11</v>
      </c>
      <c r="F23" s="13" t="s">
        <v>12</v>
      </c>
      <c r="G23" s="20">
        <v>317000</v>
      </c>
      <c r="H23" s="20">
        <f>D23*G23</f>
        <v>1585000</v>
      </c>
    </row>
    <row r="24" spans="2:8" ht="15.75">
      <c r="B24" s="12"/>
      <c r="C24" s="12"/>
      <c r="D24" s="23"/>
      <c r="E24" s="13"/>
      <c r="F24" s="13"/>
      <c r="G24" s="12" t="s">
        <v>13</v>
      </c>
      <c r="H24" s="21">
        <f>SUM(H22:H23)</f>
        <v>5788000</v>
      </c>
    </row>
    <row r="25" spans="2:8" ht="15.75">
      <c r="B25" s="12"/>
      <c r="C25" s="12"/>
      <c r="D25" s="23"/>
      <c r="E25" s="13"/>
      <c r="F25" s="13"/>
      <c r="G25" s="12"/>
      <c r="H25" s="12"/>
    </row>
    <row r="26" spans="2:8" ht="15.75">
      <c r="B26" s="15" t="s">
        <v>16</v>
      </c>
      <c r="C26" s="15" t="s">
        <v>33</v>
      </c>
      <c r="D26" s="23"/>
      <c r="E26" s="13"/>
      <c r="F26" s="13"/>
      <c r="G26" s="12"/>
      <c r="H26" s="12"/>
    </row>
    <row r="27" spans="2:8" ht="15.75">
      <c r="B27" s="16">
        <v>1</v>
      </c>
      <c r="C27" s="12" t="s">
        <v>34</v>
      </c>
      <c r="D27" s="23">
        <f>3*3*0.785*0.2</f>
        <v>1.4130000000000003</v>
      </c>
      <c r="E27" s="13" t="s">
        <v>35</v>
      </c>
      <c r="F27" s="13" t="s">
        <v>38</v>
      </c>
      <c r="G27" s="20">
        <v>122040</v>
      </c>
      <c r="H27" s="20">
        <f>D27*G27</f>
        <v>172442.52000000002</v>
      </c>
    </row>
    <row r="28" spans="2:8" ht="15.75">
      <c r="B28" s="12">
        <v>2</v>
      </c>
      <c r="C28" s="12" t="s">
        <v>36</v>
      </c>
      <c r="D28" s="23">
        <f>+D30*75</f>
        <v>211.95000000000005</v>
      </c>
      <c r="E28" s="13" t="s">
        <v>24</v>
      </c>
      <c r="F28" s="13" t="s">
        <v>39</v>
      </c>
      <c r="G28" s="20">
        <v>25179.7</v>
      </c>
      <c r="H28" s="20">
        <f>D28*G28</f>
        <v>5336837.415000001</v>
      </c>
    </row>
    <row r="29" spans="2:8" ht="15.75">
      <c r="B29" s="12">
        <v>3</v>
      </c>
      <c r="C29" s="12" t="s">
        <v>40</v>
      </c>
      <c r="D29" s="23">
        <f>3*3*0.785</f>
        <v>7.0650000000000004</v>
      </c>
      <c r="E29" s="13" t="s">
        <v>41</v>
      </c>
      <c r="F29" s="13" t="s">
        <v>78</v>
      </c>
      <c r="G29" s="20">
        <v>320636</v>
      </c>
      <c r="H29" s="20">
        <f>D29*G29</f>
        <v>2265293.3400000003</v>
      </c>
    </row>
    <row r="30" spans="2:8" ht="15.75">
      <c r="B30" s="12">
        <v>4</v>
      </c>
      <c r="C30" s="12" t="s">
        <v>37</v>
      </c>
      <c r="D30" s="23">
        <f>3*3*0.785*0.4</f>
        <v>2.8260000000000005</v>
      </c>
      <c r="E30" s="13" t="s">
        <v>11</v>
      </c>
      <c r="F30" s="13" t="s">
        <v>77</v>
      </c>
      <c r="G30" s="20">
        <v>1144303</v>
      </c>
      <c r="H30" s="20">
        <f>D30*G30</f>
        <v>3233800.2780000004</v>
      </c>
    </row>
    <row r="31" spans="2:8" ht="15.75">
      <c r="B31" s="12"/>
      <c r="C31" s="12"/>
      <c r="D31" s="23"/>
      <c r="E31" s="13"/>
      <c r="F31" s="13"/>
      <c r="G31" s="12" t="s">
        <v>13</v>
      </c>
      <c r="H31" s="21">
        <f>SUM(H27:H28)</f>
        <v>5509279.9350000005</v>
      </c>
    </row>
    <row r="32" spans="2:8" ht="15.75">
      <c r="B32" s="12"/>
      <c r="C32" s="12"/>
      <c r="D32" s="23"/>
      <c r="E32" s="13"/>
      <c r="F32" s="13"/>
      <c r="G32" s="12"/>
      <c r="H32" s="12"/>
    </row>
    <row r="33" spans="2:8" ht="15.75">
      <c r="B33" s="15" t="s">
        <v>18</v>
      </c>
      <c r="C33" s="15" t="s">
        <v>97</v>
      </c>
      <c r="D33" s="23"/>
      <c r="E33" s="13"/>
      <c r="F33" s="13"/>
      <c r="G33" s="12"/>
      <c r="H33" s="12"/>
    </row>
    <row r="34" spans="2:8" ht="15.75">
      <c r="B34" s="16">
        <v>1</v>
      </c>
      <c r="C34" s="12" t="s">
        <v>79</v>
      </c>
      <c r="D34" s="23">
        <f>2.4+(2.2*3.14*2)</f>
        <v>16.216000000000001</v>
      </c>
      <c r="E34" s="13" t="s">
        <v>83</v>
      </c>
      <c r="F34" s="13" t="s">
        <v>12</v>
      </c>
      <c r="G34" s="20">
        <v>70725</v>
      </c>
      <c r="H34" s="20">
        <f t="shared" ref="H34:H45" si="5">D34*G34</f>
        <v>1146876.6000000001</v>
      </c>
    </row>
    <row r="35" spans="2:8" ht="15.75">
      <c r="B35" s="16">
        <v>2</v>
      </c>
      <c r="C35" s="12" t="s">
        <v>82</v>
      </c>
      <c r="D35" s="23">
        <f>1.2*2*2+(3.14*2.2)</f>
        <v>11.708000000000002</v>
      </c>
      <c r="E35" s="13" t="s">
        <v>83</v>
      </c>
      <c r="F35" s="13" t="s">
        <v>12</v>
      </c>
      <c r="G35" s="20">
        <v>367150</v>
      </c>
      <c r="H35" s="20">
        <f t="shared" si="5"/>
        <v>4298592.2000000011</v>
      </c>
    </row>
    <row r="36" spans="2:8" ht="15.75">
      <c r="B36" s="16">
        <v>3</v>
      </c>
      <c r="C36" s="12" t="s">
        <v>80</v>
      </c>
      <c r="D36" s="23">
        <v>2</v>
      </c>
      <c r="E36" s="13" t="s">
        <v>81</v>
      </c>
      <c r="F36" s="13" t="s">
        <v>17</v>
      </c>
      <c r="G36" s="20">
        <v>1500000</v>
      </c>
      <c r="H36" s="20">
        <f t="shared" si="5"/>
        <v>3000000</v>
      </c>
    </row>
    <row r="37" spans="2:8" ht="15.75">
      <c r="B37" s="16">
        <v>4</v>
      </c>
      <c r="C37" s="12" t="s">
        <v>84</v>
      </c>
      <c r="D37" s="23">
        <f>2.2*3.14*2</f>
        <v>13.816000000000003</v>
      </c>
      <c r="E37" s="13" t="s">
        <v>83</v>
      </c>
      <c r="F37" s="13" t="s">
        <v>12</v>
      </c>
      <c r="G37" s="20">
        <v>367150</v>
      </c>
      <c r="H37" s="20">
        <f t="shared" si="5"/>
        <v>5072544.4000000013</v>
      </c>
    </row>
    <row r="38" spans="2:8" ht="15.75">
      <c r="B38" s="16">
        <v>5</v>
      </c>
      <c r="C38" s="12" t="s">
        <v>85</v>
      </c>
      <c r="D38" s="23">
        <f>0.6*3.14*2</f>
        <v>3.7679999999999998</v>
      </c>
      <c r="E38" s="13" t="s">
        <v>83</v>
      </c>
      <c r="F38" s="13" t="s">
        <v>12</v>
      </c>
      <c r="G38" s="20">
        <v>70725</v>
      </c>
      <c r="H38" s="20">
        <f t="shared" si="5"/>
        <v>266491.8</v>
      </c>
    </row>
    <row r="39" spans="2:8" ht="15.75">
      <c r="B39" s="16">
        <v>6</v>
      </c>
      <c r="C39" s="12" t="s">
        <v>87</v>
      </c>
      <c r="D39" s="23">
        <f>0.6*3.14*2</f>
        <v>3.7679999999999998</v>
      </c>
      <c r="E39" s="13" t="s">
        <v>83</v>
      </c>
      <c r="F39" s="13" t="s">
        <v>12</v>
      </c>
      <c r="G39" s="20">
        <v>367150</v>
      </c>
      <c r="H39" s="20">
        <f t="shared" si="5"/>
        <v>1383421.2</v>
      </c>
    </row>
    <row r="40" spans="2:8" ht="15.75">
      <c r="B40" s="16">
        <v>7</v>
      </c>
      <c r="C40" s="12" t="s">
        <v>94</v>
      </c>
      <c r="D40" s="23">
        <f>0.03*3.14*12</f>
        <v>1.1304000000000001</v>
      </c>
      <c r="E40" s="13" t="s">
        <v>83</v>
      </c>
      <c r="F40" s="13" t="s">
        <v>12</v>
      </c>
      <c r="G40" s="20">
        <v>70725</v>
      </c>
      <c r="H40" s="20">
        <f t="shared" si="5"/>
        <v>79947.540000000008</v>
      </c>
    </row>
    <row r="41" spans="2:8" ht="15.75">
      <c r="B41" s="16">
        <v>8</v>
      </c>
      <c r="C41" s="12" t="s">
        <v>95</v>
      </c>
      <c r="D41" s="23">
        <f>(10+2+2+2)*0.03*3.14</f>
        <v>1.5072000000000001</v>
      </c>
      <c r="E41" s="13" t="s">
        <v>83</v>
      </c>
      <c r="F41" s="13" t="s">
        <v>12</v>
      </c>
      <c r="G41" s="20">
        <v>367150</v>
      </c>
      <c r="H41" s="20">
        <f t="shared" si="5"/>
        <v>553368.48</v>
      </c>
    </row>
    <row r="42" spans="2:8" ht="15.75">
      <c r="B42" s="16">
        <v>9</v>
      </c>
      <c r="C42" s="12" t="s">
        <v>86</v>
      </c>
      <c r="D42" s="23">
        <v>1</v>
      </c>
      <c r="E42" s="13" t="s">
        <v>15</v>
      </c>
      <c r="F42" s="13" t="s">
        <v>17</v>
      </c>
      <c r="G42" s="20">
        <v>250000</v>
      </c>
      <c r="H42" s="20">
        <f t="shared" si="5"/>
        <v>250000</v>
      </c>
    </row>
    <row r="43" spans="2:8" ht="15.75">
      <c r="B43" s="16">
        <v>10</v>
      </c>
      <c r="C43" s="12" t="s">
        <v>91</v>
      </c>
      <c r="D43" s="23">
        <v>2</v>
      </c>
      <c r="E43" s="13" t="s">
        <v>15</v>
      </c>
      <c r="F43" s="13" t="s">
        <v>17</v>
      </c>
      <c r="G43" s="20">
        <v>50000</v>
      </c>
      <c r="H43" s="20">
        <f t="shared" si="5"/>
        <v>100000</v>
      </c>
    </row>
    <row r="44" spans="2:8" ht="15.75">
      <c r="B44" s="16">
        <v>11</v>
      </c>
      <c r="C44" s="12" t="s">
        <v>92</v>
      </c>
      <c r="D44" s="23">
        <v>1</v>
      </c>
      <c r="E44" s="13" t="s">
        <v>15</v>
      </c>
      <c r="F44" s="13" t="s">
        <v>17</v>
      </c>
      <c r="G44" s="20">
        <v>50000</v>
      </c>
      <c r="H44" s="20">
        <f t="shared" si="5"/>
        <v>50000</v>
      </c>
    </row>
    <row r="45" spans="2:8" ht="15.75">
      <c r="B45" s="16">
        <v>12</v>
      </c>
      <c r="C45" s="12" t="s">
        <v>88</v>
      </c>
      <c r="D45" s="23">
        <f>2.2*3.14*2.4+(2.2*2.2*0.785*2)+(0.03*3.14*12)</f>
        <v>25.308400000000006</v>
      </c>
      <c r="E45" s="13" t="s">
        <v>41</v>
      </c>
      <c r="F45" s="13" t="s">
        <v>93</v>
      </c>
      <c r="G45" s="20">
        <v>66966</v>
      </c>
      <c r="H45" s="20">
        <f t="shared" si="5"/>
        <v>1694802.3144000005</v>
      </c>
    </row>
    <row r="46" spans="2:8" ht="15.75">
      <c r="B46" s="16">
        <v>13</v>
      </c>
      <c r="C46" s="12" t="s">
        <v>96</v>
      </c>
      <c r="D46" s="23">
        <v>1</v>
      </c>
      <c r="E46" s="13" t="s">
        <v>55</v>
      </c>
      <c r="F46" s="13" t="s">
        <v>17</v>
      </c>
      <c r="G46" s="20">
        <f>+Analisa!H51</f>
        <v>3525000</v>
      </c>
      <c r="H46" s="20">
        <f t="shared" ref="H46" si="6">D46*G46</f>
        <v>3525000</v>
      </c>
    </row>
    <row r="47" spans="2:8" ht="15.75">
      <c r="B47" s="16">
        <v>14</v>
      </c>
      <c r="C47" s="12" t="s">
        <v>98</v>
      </c>
      <c r="D47" s="23">
        <v>1</v>
      </c>
      <c r="E47" s="13" t="s">
        <v>55</v>
      </c>
      <c r="F47" s="13" t="s">
        <v>17</v>
      </c>
      <c r="G47" s="20">
        <v>1000000</v>
      </c>
      <c r="H47" s="20">
        <f t="shared" ref="H47" si="7">D47*G47</f>
        <v>1000000</v>
      </c>
    </row>
    <row r="48" spans="2:8" ht="15.75">
      <c r="B48" s="12"/>
      <c r="C48" s="12"/>
      <c r="D48" s="14"/>
      <c r="E48" s="12"/>
      <c r="F48" s="12"/>
      <c r="G48" s="12" t="s">
        <v>13</v>
      </c>
      <c r="H48" s="21">
        <f>SUM(H34:H45)</f>
        <v>17896044.534400001</v>
      </c>
    </row>
    <row r="49" spans="2:38" ht="16.5" thickBot="1">
      <c r="B49" s="17"/>
      <c r="C49" s="18"/>
      <c r="D49" s="19"/>
      <c r="E49" s="18"/>
      <c r="F49" s="18"/>
      <c r="G49" s="18"/>
      <c r="H49" s="22"/>
    </row>
    <row r="50" spans="2:38" ht="16.5" thickBot="1">
      <c r="B50" s="63" t="s">
        <v>107</v>
      </c>
      <c r="C50" s="64"/>
      <c r="D50" s="64"/>
      <c r="E50" s="65"/>
      <c r="F50" s="72" t="s">
        <v>103</v>
      </c>
      <c r="G50" s="73"/>
      <c r="H50" s="6">
        <f>+H19+H24+H31+H48</f>
        <v>60944800.469400004</v>
      </c>
    </row>
    <row r="51" spans="2:38" ht="16.5" thickBot="1">
      <c r="B51" s="66"/>
      <c r="C51" s="67"/>
      <c r="D51" s="67"/>
      <c r="E51" s="68"/>
      <c r="F51" s="74" t="s">
        <v>100</v>
      </c>
      <c r="G51" s="75"/>
      <c r="H51" s="6">
        <f>+H50*0.1</f>
        <v>6094480.0469400007</v>
      </c>
    </row>
    <row r="52" spans="2:38" ht="16.5" thickBot="1">
      <c r="B52" s="66"/>
      <c r="C52" s="67"/>
      <c r="D52" s="67"/>
      <c r="E52" s="68"/>
      <c r="F52" s="74" t="s">
        <v>101</v>
      </c>
      <c r="G52" s="75"/>
      <c r="H52" s="6">
        <f>SUM(H50:H51)</f>
        <v>67039280.516340002</v>
      </c>
    </row>
    <row r="53" spans="2:38" ht="16.5" thickBot="1">
      <c r="B53" s="69"/>
      <c r="C53" s="70"/>
      <c r="D53" s="70"/>
      <c r="E53" s="71"/>
      <c r="F53" s="61" t="s">
        <v>102</v>
      </c>
      <c r="G53" s="62"/>
      <c r="H53" s="53">
        <f>ROUND(H52,-3)</f>
        <v>67039000</v>
      </c>
    </row>
    <row r="54" spans="2:38" ht="15.75">
      <c r="B54" s="5"/>
      <c r="C54" s="2"/>
      <c r="D54" s="7"/>
      <c r="E54" s="2"/>
      <c r="F54" s="2"/>
      <c r="G54" s="2"/>
      <c r="H54" s="2"/>
    </row>
    <row r="55" spans="2:38" ht="15.75">
      <c r="B55" s="89"/>
      <c r="C55" s="2"/>
      <c r="D55" s="7"/>
      <c r="E55" s="2"/>
      <c r="F55" s="2"/>
      <c r="G55" s="2"/>
      <c r="H55" s="2"/>
    </row>
    <row r="56" spans="2:38" s="78" customFormat="1" ht="15.75">
      <c r="B56" s="76"/>
      <c r="C56" s="76"/>
      <c r="D56" s="76"/>
      <c r="E56" s="77"/>
      <c r="F56" s="76"/>
      <c r="G56" s="86" t="s">
        <v>108</v>
      </c>
      <c r="H56" s="86"/>
      <c r="AB56"/>
      <c r="AC56"/>
      <c r="AD56"/>
      <c r="AE56" t="str">
        <f>IF(AE53&gt;0,IF(AND(AE53=1,AD53&gt;0)," belas "," puluh "),"")</f>
        <v/>
      </c>
      <c r="AF56" t="str">
        <f>IF(AF53&gt;0," ratus ","")</f>
        <v/>
      </c>
      <c r="AG56" t="str">
        <f>IF(SUM(AG53,AI53)&gt;0," ribu ","")</f>
        <v/>
      </c>
      <c r="AH56" t="str">
        <f>IF(AH53&gt;0,IF(AND(AH53=1,AG53&gt;0)," belas "," puluh "),"")</f>
        <v/>
      </c>
      <c r="AI56" t="str">
        <f>IF(AI53&gt;0," ratus ","")</f>
        <v/>
      </c>
      <c r="AJ56" t="str">
        <f>IF(SUM(AJ53,AL53)&gt;0," juta ","")</f>
        <v/>
      </c>
      <c r="AK56" t="str">
        <f>IF(AK53&gt;0,IF(AND(AK53=1,AJ53&gt;0)," belas "," puluh "),"")</f>
        <v/>
      </c>
      <c r="AL56" t="str">
        <f>IF(AL53&gt;0," ratus ","")</f>
        <v/>
      </c>
    </row>
    <row r="57" spans="2:38" s="78" customFormat="1" ht="15.75">
      <c r="B57" s="86" t="s">
        <v>120</v>
      </c>
      <c r="C57" s="86"/>
      <c r="D57" s="86" t="s">
        <v>119</v>
      </c>
      <c r="E57" s="88"/>
      <c r="F57" s="86"/>
      <c r="G57" s="86" t="s">
        <v>109</v>
      </c>
      <c r="H57" s="86"/>
      <c r="AB57"/>
      <c r="AC57"/>
      <c r="AD57" t="str">
        <f>CONCATENATE(AD54,AD49)</f>
        <v/>
      </c>
      <c r="AE57" t="str">
        <f t="shared" ref="AE57:AL57" si="8">CONCATENATE(AE54,AE56)</f>
        <v/>
      </c>
      <c r="AF57" t="str">
        <f t="shared" si="8"/>
        <v/>
      </c>
      <c r="AG57" t="str">
        <f t="shared" si="8"/>
        <v/>
      </c>
      <c r="AH57" t="str">
        <f t="shared" si="8"/>
        <v/>
      </c>
      <c r="AI57" t="str">
        <f t="shared" si="8"/>
        <v/>
      </c>
      <c r="AJ57" t="str">
        <f t="shared" si="8"/>
        <v/>
      </c>
      <c r="AK57" t="str">
        <f t="shared" si="8"/>
        <v/>
      </c>
      <c r="AL57" t="str">
        <f t="shared" si="8"/>
        <v/>
      </c>
    </row>
    <row r="58" spans="2:38" s="78" customFormat="1" ht="15.75">
      <c r="B58" s="86"/>
      <c r="C58" s="86"/>
      <c r="D58" s="86"/>
      <c r="E58" s="88"/>
      <c r="F58" s="86"/>
      <c r="G58" s="86"/>
      <c r="H58" s="86"/>
      <c r="AB58"/>
      <c r="AC58"/>
      <c r="AD58"/>
      <c r="AE58"/>
      <c r="AF58"/>
      <c r="AG58"/>
      <c r="AH58"/>
      <c r="AI58"/>
      <c r="AJ58"/>
      <c r="AK58"/>
      <c r="AL58"/>
    </row>
    <row r="59" spans="2:38" s="78" customFormat="1" ht="15.75">
      <c r="B59" s="86"/>
      <c r="C59" s="86"/>
      <c r="D59" s="86"/>
      <c r="E59" s="88"/>
      <c r="F59" s="86"/>
      <c r="G59" s="86"/>
      <c r="H59" s="86"/>
      <c r="AB59" s="4" t="str">
        <f>PROPER(CONCATENATE(AL57,AK57,AJ57,AI57,AH57,AG57,AF57,AE57,AD57,AB51))</f>
        <v/>
      </c>
      <c r="AC59"/>
      <c r="AD59"/>
      <c r="AE59"/>
      <c r="AF59"/>
      <c r="AG59"/>
      <c r="AH59"/>
      <c r="AI59"/>
      <c r="AJ59"/>
      <c r="AK59"/>
      <c r="AL59"/>
    </row>
    <row r="60" spans="2:38" s="78" customFormat="1" ht="15.75">
      <c r="B60" s="86"/>
      <c r="C60" s="86"/>
      <c r="D60" s="86"/>
      <c r="E60" s="88"/>
      <c r="F60" s="86"/>
      <c r="G60" s="77"/>
      <c r="H60" s="86"/>
    </row>
    <row r="61" spans="2:38" s="78" customFormat="1" ht="15.75">
      <c r="B61" s="87" t="s">
        <v>110</v>
      </c>
      <c r="C61" s="87"/>
      <c r="D61" s="87" t="s">
        <v>111</v>
      </c>
      <c r="E61" s="88"/>
      <c r="F61" s="87"/>
      <c r="G61" s="87" t="s">
        <v>112</v>
      </c>
      <c r="H61" s="87"/>
    </row>
    <row r="62" spans="2:38" s="78" customFormat="1" ht="15.75">
      <c r="B62" s="86" t="s">
        <v>113</v>
      </c>
      <c r="C62" s="86"/>
      <c r="D62" s="86" t="s">
        <v>114</v>
      </c>
      <c r="E62" s="88"/>
      <c r="F62" s="86"/>
      <c r="G62" s="86" t="s">
        <v>115</v>
      </c>
      <c r="H62" s="86"/>
    </row>
    <row r="63" spans="2:38" s="78" customFormat="1" ht="12">
      <c r="E63" s="79"/>
    </row>
  </sheetData>
  <mergeCells count="10">
    <mergeCell ref="F53:G53"/>
    <mergeCell ref="B50:E53"/>
    <mergeCell ref="F50:G50"/>
    <mergeCell ref="F51:G51"/>
    <mergeCell ref="F52:G52"/>
    <mergeCell ref="B7:B8"/>
    <mergeCell ref="C7:C8"/>
    <mergeCell ref="D7:D8"/>
    <mergeCell ref="E7:E8"/>
    <mergeCell ref="F7:F8"/>
  </mergeCells>
  <pageMargins left="0.43" right="0.45" top="0.3" bottom="0.32" header="0.2" footer="0.2"/>
  <pageSetup paperSize="9" scale="81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2"/>
  <sheetViews>
    <sheetView workbookViewId="0">
      <selection sqref="A1:H52"/>
    </sheetView>
  </sheetViews>
  <sheetFormatPr defaultRowHeight="15"/>
  <cols>
    <col min="1" max="1" width="2.85546875" customWidth="1"/>
    <col min="2" max="2" width="6.28515625" customWidth="1"/>
    <col min="3" max="3" width="42.42578125" customWidth="1"/>
    <col min="4" max="4" width="2.85546875" customWidth="1"/>
    <col min="5" max="5" width="10.28515625" style="8" customWidth="1"/>
    <col min="6" max="6" width="10.140625" style="24" customWidth="1"/>
    <col min="7" max="7" width="13.85546875" style="8" customWidth="1"/>
    <col min="8" max="8" width="15" style="8" customWidth="1"/>
  </cols>
  <sheetData>
    <row r="1" spans="1:8" ht="15.75">
      <c r="A1" s="56" t="s">
        <v>72</v>
      </c>
      <c r="B1" s="56"/>
      <c r="C1" s="56"/>
      <c r="D1" s="56"/>
      <c r="E1" s="56"/>
      <c r="F1" s="56"/>
      <c r="G1" s="56"/>
      <c r="H1" s="56"/>
    </row>
    <row r="3" spans="1:8">
      <c r="B3" s="32" t="s">
        <v>42</v>
      </c>
      <c r="C3" s="33"/>
      <c r="D3" s="33" t="s">
        <v>43</v>
      </c>
      <c r="E3" s="34" t="s">
        <v>31</v>
      </c>
      <c r="F3" s="35"/>
      <c r="G3" s="36"/>
      <c r="H3" s="37"/>
    </row>
    <row r="4" spans="1:8">
      <c r="B4" s="38" t="s">
        <v>44</v>
      </c>
      <c r="C4" s="39"/>
      <c r="D4" s="39" t="s">
        <v>43</v>
      </c>
      <c r="E4" s="40" t="s">
        <v>55</v>
      </c>
      <c r="F4" s="41"/>
      <c r="G4" s="40"/>
      <c r="H4" s="42"/>
    </row>
    <row r="5" spans="1:8">
      <c r="B5" s="38" t="s">
        <v>45</v>
      </c>
      <c r="C5" s="39"/>
      <c r="D5" s="39" t="s">
        <v>43</v>
      </c>
      <c r="E5" s="40" t="s">
        <v>46</v>
      </c>
      <c r="F5" s="41"/>
      <c r="G5" s="40"/>
      <c r="H5" s="42"/>
    </row>
    <row r="6" spans="1:8">
      <c r="B6" s="43" t="s">
        <v>47</v>
      </c>
      <c r="C6" s="44"/>
      <c r="D6" s="44" t="s">
        <v>43</v>
      </c>
      <c r="E6" s="45"/>
      <c r="F6" s="46"/>
      <c r="G6" s="45"/>
      <c r="H6" s="47"/>
    </row>
    <row r="7" spans="1:8">
      <c r="B7" s="29" t="s">
        <v>48</v>
      </c>
      <c r="C7" s="48" t="s">
        <v>74</v>
      </c>
      <c r="D7" s="49"/>
      <c r="E7" s="30" t="s">
        <v>49</v>
      </c>
      <c r="F7" s="30" t="s">
        <v>44</v>
      </c>
      <c r="G7" s="30" t="s">
        <v>67</v>
      </c>
      <c r="H7" s="30" t="s">
        <v>73</v>
      </c>
    </row>
    <row r="8" spans="1:8">
      <c r="B8" s="31" t="s">
        <v>50</v>
      </c>
      <c r="C8" s="50" t="s">
        <v>51</v>
      </c>
      <c r="D8" s="51"/>
      <c r="E8" s="28"/>
      <c r="F8" s="27"/>
      <c r="G8" s="28"/>
      <c r="H8" s="28"/>
    </row>
    <row r="9" spans="1:8">
      <c r="B9" s="25">
        <v>1</v>
      </c>
      <c r="C9" s="52" t="s">
        <v>62</v>
      </c>
      <c r="D9" s="51"/>
      <c r="E9" s="28">
        <v>4</v>
      </c>
      <c r="F9" s="27" t="s">
        <v>68</v>
      </c>
      <c r="G9" s="28">
        <v>115000</v>
      </c>
      <c r="H9" s="28">
        <f>+E9*G9</f>
        <v>460000</v>
      </c>
    </row>
    <row r="10" spans="1:8">
      <c r="B10" s="25">
        <v>2</v>
      </c>
      <c r="C10" s="52" t="s">
        <v>63</v>
      </c>
      <c r="D10" s="51"/>
      <c r="E10" s="28">
        <v>1</v>
      </c>
      <c r="F10" s="27" t="s">
        <v>68</v>
      </c>
      <c r="G10" s="28">
        <v>177000</v>
      </c>
      <c r="H10" s="28">
        <f>+E10*G10</f>
        <v>177000</v>
      </c>
    </row>
    <row r="11" spans="1:8">
      <c r="B11" s="25">
        <v>3</v>
      </c>
      <c r="C11" s="52" t="s">
        <v>64</v>
      </c>
      <c r="D11" s="51"/>
      <c r="E11" s="28">
        <v>1</v>
      </c>
      <c r="F11" s="27" t="s">
        <v>68</v>
      </c>
      <c r="G11" s="28">
        <v>236000</v>
      </c>
      <c r="H11" s="28">
        <f>+E11*G11</f>
        <v>236000</v>
      </c>
    </row>
    <row r="12" spans="1:8">
      <c r="B12" s="25">
        <v>4</v>
      </c>
      <c r="C12" s="52" t="s">
        <v>65</v>
      </c>
      <c r="D12" s="51"/>
      <c r="E12" s="28">
        <v>1</v>
      </c>
      <c r="F12" s="27" t="s">
        <v>68</v>
      </c>
      <c r="G12" s="28">
        <v>220000</v>
      </c>
      <c r="H12" s="28">
        <f>+E12*G12</f>
        <v>220000</v>
      </c>
    </row>
    <row r="13" spans="1:8">
      <c r="B13" s="25">
        <v>5</v>
      </c>
      <c r="C13" s="52" t="s">
        <v>66</v>
      </c>
      <c r="D13" s="51"/>
      <c r="E13" s="28">
        <v>1</v>
      </c>
      <c r="F13" s="27" t="s">
        <v>68</v>
      </c>
      <c r="G13" s="28">
        <v>214000</v>
      </c>
      <c r="H13" s="28">
        <f>+E13*G13</f>
        <v>214000</v>
      </c>
    </row>
    <row r="14" spans="1:8">
      <c r="B14" s="25"/>
      <c r="C14" s="52"/>
      <c r="D14" s="51"/>
      <c r="E14" s="28"/>
      <c r="F14" s="27"/>
      <c r="G14" s="28"/>
      <c r="H14" s="28"/>
    </row>
    <row r="15" spans="1:8">
      <c r="B15" s="31" t="s">
        <v>52</v>
      </c>
      <c r="C15" s="50" t="s">
        <v>57</v>
      </c>
      <c r="D15" s="51"/>
      <c r="E15" s="28"/>
      <c r="F15" s="27"/>
      <c r="G15" s="28"/>
      <c r="H15" s="28"/>
    </row>
    <row r="16" spans="1:8">
      <c r="B16" s="25">
        <v>1</v>
      </c>
      <c r="C16" s="52" t="s">
        <v>59</v>
      </c>
      <c r="D16" s="51"/>
      <c r="E16" s="28">
        <v>1</v>
      </c>
      <c r="F16" s="27" t="s">
        <v>69</v>
      </c>
      <c r="G16" s="28">
        <v>75000</v>
      </c>
      <c r="H16" s="28">
        <f>+E16*G16</f>
        <v>75000</v>
      </c>
    </row>
    <row r="17" spans="2:9">
      <c r="B17" s="25">
        <v>2</v>
      </c>
      <c r="C17" s="52" t="s">
        <v>60</v>
      </c>
      <c r="D17" s="51"/>
      <c r="E17" s="28">
        <v>0.5</v>
      </c>
      <c r="F17" s="27" t="s">
        <v>69</v>
      </c>
      <c r="G17" s="28">
        <v>350000</v>
      </c>
      <c r="H17" s="28">
        <f>+E17*G17</f>
        <v>175000</v>
      </c>
    </row>
    <row r="18" spans="2:9">
      <c r="B18" s="25">
        <v>3</v>
      </c>
      <c r="C18" s="52" t="s">
        <v>61</v>
      </c>
      <c r="D18" s="51"/>
      <c r="E18" s="28">
        <v>10</v>
      </c>
      <c r="F18" s="27" t="s">
        <v>28</v>
      </c>
      <c r="G18" s="28">
        <v>6000</v>
      </c>
      <c r="H18" s="28">
        <f>+E18*G18</f>
        <v>60000</v>
      </c>
    </row>
    <row r="19" spans="2:9">
      <c r="B19" s="25"/>
      <c r="C19" s="52"/>
      <c r="D19" s="51"/>
      <c r="E19" s="28"/>
      <c r="F19" s="27"/>
      <c r="G19" s="28"/>
      <c r="H19" s="28"/>
    </row>
    <row r="20" spans="2:9">
      <c r="B20" s="31" t="s">
        <v>53</v>
      </c>
      <c r="C20" s="50" t="s">
        <v>54</v>
      </c>
      <c r="D20" s="51"/>
      <c r="E20" s="28"/>
      <c r="F20" s="27"/>
      <c r="G20" s="28"/>
      <c r="H20" s="28"/>
    </row>
    <row r="21" spans="2:9">
      <c r="B21" s="25">
        <v>1</v>
      </c>
      <c r="C21" s="52" t="s">
        <v>76</v>
      </c>
      <c r="D21" s="51"/>
      <c r="E21" s="28">
        <v>0.1</v>
      </c>
      <c r="F21" s="27" t="s">
        <v>70</v>
      </c>
      <c r="G21" s="28">
        <v>2500000</v>
      </c>
      <c r="H21" s="28">
        <f>+E21*G21</f>
        <v>250000</v>
      </c>
    </row>
    <row r="22" spans="2:9">
      <c r="B22" s="25">
        <v>2</v>
      </c>
      <c r="C22" s="52" t="s">
        <v>56</v>
      </c>
      <c r="D22" s="51"/>
      <c r="E22" s="28">
        <v>0.1</v>
      </c>
      <c r="F22" s="27" t="s">
        <v>28</v>
      </c>
      <c r="G22" s="28">
        <v>400000</v>
      </c>
      <c r="H22" s="28">
        <f>+E22*G22</f>
        <v>40000</v>
      </c>
    </row>
    <row r="23" spans="2:9">
      <c r="B23" s="25">
        <v>3</v>
      </c>
      <c r="C23" s="52" t="s">
        <v>58</v>
      </c>
      <c r="D23" s="51"/>
      <c r="E23" s="28">
        <v>8</v>
      </c>
      <c r="F23" s="27" t="s">
        <v>71</v>
      </c>
      <c r="G23" s="28">
        <v>287000</v>
      </c>
      <c r="H23" s="28">
        <f>+E23*G23</f>
        <v>2296000</v>
      </c>
    </row>
    <row r="24" spans="2:9">
      <c r="B24" s="25"/>
      <c r="C24" s="52"/>
      <c r="D24" s="51"/>
      <c r="E24" s="28"/>
      <c r="F24" s="27"/>
      <c r="G24" s="28"/>
      <c r="H24" s="28"/>
    </row>
    <row r="25" spans="2:9">
      <c r="B25" s="25"/>
      <c r="C25" s="52"/>
      <c r="D25" s="51"/>
      <c r="E25" s="28"/>
      <c r="F25" s="27"/>
      <c r="G25" s="28"/>
      <c r="H25" s="26">
        <f>SUM(H9:H23)</f>
        <v>4203000</v>
      </c>
    </row>
    <row r="26" spans="2:9">
      <c r="B26" s="25"/>
      <c r="C26" s="52"/>
      <c r="D26" s="51"/>
      <c r="E26" s="28"/>
      <c r="F26" s="27"/>
      <c r="G26" s="28"/>
      <c r="H26" s="28"/>
    </row>
    <row r="30" spans="2:9">
      <c r="E30"/>
      <c r="F30" s="8"/>
      <c r="G30" s="24"/>
      <c r="I30" s="8"/>
    </row>
    <row r="31" spans="2:9">
      <c r="B31" s="32" t="s">
        <v>42</v>
      </c>
      <c r="C31" s="33"/>
      <c r="D31" s="33" t="s">
        <v>43</v>
      </c>
      <c r="E31" s="34" t="s">
        <v>99</v>
      </c>
      <c r="F31" s="35"/>
      <c r="G31" s="36"/>
      <c r="H31" s="37"/>
    </row>
    <row r="32" spans="2:9">
      <c r="B32" s="38" t="s">
        <v>44</v>
      </c>
      <c r="C32" s="39"/>
      <c r="D32" s="39" t="s">
        <v>43</v>
      </c>
      <c r="E32" s="40" t="s">
        <v>55</v>
      </c>
      <c r="F32" s="41"/>
      <c r="G32" s="40"/>
      <c r="H32" s="42"/>
    </row>
    <row r="33" spans="2:8">
      <c r="B33" s="38" t="s">
        <v>45</v>
      </c>
      <c r="C33" s="39"/>
      <c r="D33" s="39" t="s">
        <v>43</v>
      </c>
      <c r="E33" s="40" t="s">
        <v>46</v>
      </c>
      <c r="F33" s="41"/>
      <c r="G33" s="40"/>
      <c r="H33" s="42"/>
    </row>
    <row r="34" spans="2:8">
      <c r="B34" s="43" t="s">
        <v>47</v>
      </c>
      <c r="C34" s="44"/>
      <c r="D34" s="44" t="s">
        <v>43</v>
      </c>
      <c r="E34" s="45"/>
      <c r="F34" s="46"/>
      <c r="G34" s="45"/>
      <c r="H34" s="47"/>
    </row>
    <row r="35" spans="2:8">
      <c r="B35" s="29" t="s">
        <v>48</v>
      </c>
      <c r="C35" s="48" t="s">
        <v>74</v>
      </c>
      <c r="D35" s="49"/>
      <c r="E35" s="30" t="s">
        <v>49</v>
      </c>
      <c r="F35" s="30" t="s">
        <v>44</v>
      </c>
      <c r="G35" s="30" t="s">
        <v>67</v>
      </c>
      <c r="H35" s="30" t="s">
        <v>73</v>
      </c>
    </row>
    <row r="36" spans="2:8">
      <c r="B36" s="31" t="s">
        <v>50</v>
      </c>
      <c r="C36" s="50" t="s">
        <v>51</v>
      </c>
      <c r="D36" s="51"/>
      <c r="E36" s="28"/>
      <c r="F36" s="27"/>
      <c r="G36" s="28"/>
      <c r="H36" s="28"/>
    </row>
    <row r="37" spans="2:8">
      <c r="B37" s="25">
        <v>1</v>
      </c>
      <c r="C37" s="52" t="s">
        <v>62</v>
      </c>
      <c r="D37" s="51"/>
      <c r="E37" s="28">
        <v>2</v>
      </c>
      <c r="F37" s="27" t="s">
        <v>68</v>
      </c>
      <c r="G37" s="28">
        <v>115000</v>
      </c>
      <c r="H37" s="28">
        <f>+E37*G37</f>
        <v>230000</v>
      </c>
    </row>
    <row r="38" spans="2:8">
      <c r="B38" s="25">
        <v>2</v>
      </c>
      <c r="C38" s="52" t="s">
        <v>63</v>
      </c>
      <c r="D38" s="51"/>
      <c r="E38" s="28">
        <v>1</v>
      </c>
      <c r="F38" s="27" t="s">
        <v>68</v>
      </c>
      <c r="G38" s="28">
        <v>177000</v>
      </c>
      <c r="H38" s="28">
        <f>+E38*G38</f>
        <v>177000</v>
      </c>
    </row>
    <row r="39" spans="2:8">
      <c r="B39" s="25">
        <v>3</v>
      </c>
      <c r="C39" s="52" t="s">
        <v>64</v>
      </c>
      <c r="D39" s="51"/>
      <c r="E39" s="28">
        <v>1</v>
      </c>
      <c r="F39" s="27" t="s">
        <v>68</v>
      </c>
      <c r="G39" s="28">
        <v>236000</v>
      </c>
      <c r="H39" s="28">
        <f>+E39*G39</f>
        <v>236000</v>
      </c>
    </row>
    <row r="40" spans="2:8">
      <c r="B40" s="25">
        <v>4</v>
      </c>
      <c r="C40" s="52" t="s">
        <v>65</v>
      </c>
      <c r="D40" s="51"/>
      <c r="E40" s="28">
        <v>1</v>
      </c>
      <c r="F40" s="27" t="s">
        <v>68</v>
      </c>
      <c r="G40" s="28">
        <v>220000</v>
      </c>
      <c r="H40" s="28">
        <f>+E40*G40</f>
        <v>220000</v>
      </c>
    </row>
    <row r="41" spans="2:8">
      <c r="B41" s="25">
        <v>5</v>
      </c>
      <c r="C41" s="52" t="s">
        <v>66</v>
      </c>
      <c r="D41" s="51"/>
      <c r="E41" s="28">
        <v>1</v>
      </c>
      <c r="F41" s="27" t="s">
        <v>68</v>
      </c>
      <c r="G41" s="28">
        <v>214000</v>
      </c>
      <c r="H41" s="28">
        <f>+E41*G41</f>
        <v>214000</v>
      </c>
    </row>
    <row r="42" spans="2:8">
      <c r="B42" s="25"/>
      <c r="C42" s="52"/>
      <c r="D42" s="51"/>
      <c r="E42" s="28"/>
      <c r="F42" s="27"/>
      <c r="G42" s="28"/>
      <c r="H42" s="28"/>
    </row>
    <row r="43" spans="2:8">
      <c r="B43" s="31" t="s">
        <v>52</v>
      </c>
      <c r="C43" s="50" t="s">
        <v>57</v>
      </c>
      <c r="D43" s="51"/>
      <c r="E43" s="28"/>
      <c r="F43" s="27"/>
      <c r="G43" s="28"/>
      <c r="H43" s="28"/>
    </row>
    <row r="44" spans="2:8">
      <c r="B44" s="25">
        <v>1</v>
      </c>
      <c r="C44" s="52" t="s">
        <v>61</v>
      </c>
      <c r="D44" s="51"/>
      <c r="E44" s="28">
        <v>2</v>
      </c>
      <c r="F44" s="27" t="s">
        <v>28</v>
      </c>
      <c r="G44" s="28">
        <v>6000</v>
      </c>
      <c r="H44" s="28">
        <f>+E44*G44</f>
        <v>12000</v>
      </c>
    </row>
    <row r="45" spans="2:8">
      <c r="B45" s="25"/>
      <c r="C45" s="52"/>
      <c r="D45" s="51"/>
      <c r="E45" s="28"/>
      <c r="F45" s="27"/>
      <c r="G45" s="28"/>
      <c r="H45" s="28"/>
    </row>
    <row r="46" spans="2:8">
      <c r="B46" s="31" t="s">
        <v>53</v>
      </c>
      <c r="C46" s="50" t="s">
        <v>54</v>
      </c>
      <c r="D46" s="51"/>
      <c r="E46" s="28"/>
      <c r="F46" s="27"/>
      <c r="G46" s="28"/>
      <c r="H46" s="28"/>
    </row>
    <row r="47" spans="2:8">
      <c r="B47" s="25">
        <v>1</v>
      </c>
      <c r="C47" s="52" t="s">
        <v>105</v>
      </c>
      <c r="D47" s="51"/>
      <c r="E47" s="28">
        <v>0.1</v>
      </c>
      <c r="F47" s="27" t="s">
        <v>70</v>
      </c>
      <c r="G47" s="28">
        <v>1000000</v>
      </c>
      <c r="H47" s="28">
        <f>+E47*G47</f>
        <v>100000</v>
      </c>
    </row>
    <row r="48" spans="2:8">
      <c r="B48" s="25">
        <v>2</v>
      </c>
      <c r="C48" s="52" t="s">
        <v>56</v>
      </c>
      <c r="D48" s="51"/>
      <c r="E48" s="28">
        <v>0.1</v>
      </c>
      <c r="F48" s="27" t="s">
        <v>28</v>
      </c>
      <c r="G48" s="28">
        <v>400000</v>
      </c>
      <c r="H48" s="28">
        <f>+E48*G48</f>
        <v>40000</v>
      </c>
    </row>
    <row r="49" spans="2:8">
      <c r="B49" s="25">
        <v>3</v>
      </c>
      <c r="C49" s="52" t="s">
        <v>58</v>
      </c>
      <c r="D49" s="51"/>
      <c r="E49" s="28">
        <v>8</v>
      </c>
      <c r="F49" s="27" t="s">
        <v>71</v>
      </c>
      <c r="G49" s="28">
        <v>287000</v>
      </c>
      <c r="H49" s="28">
        <f>+E49*G49</f>
        <v>2296000</v>
      </c>
    </row>
    <row r="50" spans="2:8">
      <c r="B50" s="25"/>
      <c r="C50" s="52"/>
      <c r="D50" s="51"/>
      <c r="E50" s="28"/>
      <c r="F50" s="27"/>
      <c r="G50" s="28"/>
      <c r="H50" s="28"/>
    </row>
    <row r="51" spans="2:8">
      <c r="B51" s="25"/>
      <c r="C51" s="52"/>
      <c r="D51" s="51"/>
      <c r="E51" s="28"/>
      <c r="F51" s="27"/>
      <c r="G51" s="28"/>
      <c r="H51" s="26">
        <f>SUM(H37:H49)</f>
        <v>3525000</v>
      </c>
    </row>
    <row r="52" spans="2:8">
      <c r="B52" s="25"/>
      <c r="C52" s="52"/>
      <c r="D52" s="51"/>
      <c r="E52" s="28"/>
      <c r="F52" s="27"/>
      <c r="G52" s="28"/>
      <c r="H52" s="28"/>
    </row>
  </sheetData>
  <mergeCells count="1">
    <mergeCell ref="A1:H1"/>
  </mergeCells>
  <pageMargins left="0.70866141732283472" right="0.70866141732283472" top="0.48" bottom="0.74803149606299213" header="0.31496062992125984" footer="0.31496062992125984"/>
  <pageSetup paperSize="9" scale="84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opLeftCell="A16" workbookViewId="0">
      <selection activeCell="T3" sqref="B3:T41"/>
    </sheetView>
  </sheetViews>
  <sheetFormatPr defaultRowHeight="15"/>
  <sheetData/>
  <pageMargins left="0.37" right="0.34" top="0.74803149606299213" bottom="0.51" header="0.31496062992125984" footer="0.31496062992125984"/>
  <pageSetup paperSize="9" scale="81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RAB</vt:lpstr>
      <vt:lpstr>Analisa</vt:lpstr>
      <vt:lpstr>Drawing</vt:lpstr>
      <vt:lpstr>Analisa!Print_Area</vt:lpstr>
      <vt:lpstr>Drawing!Print_Area</vt:lpstr>
      <vt:lpstr>RAB!Print_Area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2021-11-24T02:19:50Z</dcterms:modified>
</cp:coreProperties>
</file>