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260" windowHeight="8115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2018'!$A$2:$I$30</definedName>
  </definedNames>
  <calcPr calcId="124519"/>
</workbook>
</file>

<file path=xl/calcChain.xml><?xml version="1.0" encoding="utf-8"?>
<calcChain xmlns="http://schemas.openxmlformats.org/spreadsheetml/2006/main">
  <c r="A11" i="8"/>
  <c r="A12" s="1"/>
  <c r="A13" s="1"/>
  <c r="N11"/>
  <c r="H11"/>
  <c r="P20"/>
  <c r="Q20" s="1"/>
  <c r="R20" s="1"/>
  <c r="S20" s="1"/>
  <c r="T20" l="1"/>
  <c r="U20" l="1"/>
  <c r="V20" l="1"/>
  <c r="W20" l="1"/>
  <c r="X20" l="1"/>
  <c r="A10" l="1"/>
  <c r="N10"/>
  <c r="H10"/>
  <c r="H16" l="1"/>
  <c r="G14" i="15" l="1"/>
  <c r="N19" i="8" l="1"/>
  <c r="N9"/>
  <c r="K19"/>
  <c r="H19"/>
  <c r="K18"/>
  <c r="H18"/>
  <c r="K17"/>
  <c r="H17"/>
  <c r="D15"/>
  <c r="H15" s="1"/>
  <c r="K14"/>
  <c r="H14"/>
  <c r="H13"/>
  <c r="H12"/>
  <c r="A14"/>
  <c r="A15" s="1"/>
  <c r="A16" s="1"/>
  <c r="A17" s="1"/>
  <c r="A18" s="1"/>
  <c r="M9"/>
  <c r="H9"/>
  <c r="AC35" i="14"/>
  <c r="R39" s="1"/>
  <c r="AN35"/>
  <c r="AN32"/>
  <c r="AC32"/>
  <c r="N12" i="8" l="1"/>
  <c r="N15" s="1"/>
  <c r="A19"/>
  <c r="I20"/>
  <c r="I21" s="1"/>
  <c r="N13" l="1"/>
  <c r="N16" s="1"/>
  <c r="I22"/>
  <c r="K22" l="1"/>
  <c r="N20"/>
  <c r="N17"/>
  <c r="P21" l="1"/>
  <c r="P22" s="1"/>
  <c r="P23" s="1"/>
  <c r="R21"/>
  <c r="R22" s="1"/>
  <c r="R23" s="1"/>
  <c r="Q21"/>
  <c r="S21"/>
  <c r="T21"/>
  <c r="U21"/>
  <c r="V21"/>
  <c r="W21"/>
  <c r="X21"/>
  <c r="X22" l="1"/>
  <c r="X23" s="1"/>
  <c r="X25" s="1"/>
  <c r="T22"/>
  <c r="T23" s="1"/>
  <c r="T24" s="1"/>
  <c r="W22"/>
  <c r="W23" s="1"/>
  <c r="W24" s="1"/>
  <c r="S22"/>
  <c r="S23" s="1"/>
  <c r="T25" s="1"/>
  <c r="R25"/>
  <c r="R24"/>
  <c r="U22"/>
  <c r="U23" s="1"/>
  <c r="S25" s="1"/>
  <c r="V22"/>
  <c r="V23" s="1"/>
  <c r="Q22"/>
  <c r="Q23" s="1"/>
  <c r="P24" s="1"/>
  <c r="P26" s="1"/>
  <c r="X24" l="1"/>
  <c r="T26"/>
  <c r="S24"/>
  <c r="S26" s="1"/>
  <c r="R26"/>
  <c r="V24"/>
  <c r="V25"/>
  <c r="Q24"/>
  <c r="Q25"/>
  <c r="X26"/>
  <c r="U25"/>
  <c r="U24"/>
  <c r="W25"/>
  <c r="W26" s="1"/>
  <c r="V26" l="1"/>
  <c r="Q26"/>
  <c r="U26"/>
  <c r="N28" l="1"/>
  <c r="B22" s="1"/>
</calcChain>
</file>

<file path=xl/sharedStrings.xml><?xml version="1.0" encoding="utf-8"?>
<sst xmlns="http://schemas.openxmlformats.org/spreadsheetml/2006/main" count="88" uniqueCount="64">
  <si>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</si>
  <si>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</si>
  <si>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</si>
  <si>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</si>
  <si>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</si>
  <si>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</si>
  <si>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</si>
  <si>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</si>
  <si>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</si>
  <si>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</si>
  <si>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</si>
  <si>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</si>
  <si>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</si>
  <si>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</si>
  <si>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</si>
  <si>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</si>
  <si>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Ls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</si>
  <si>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</si>
  <si>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</si>
  <si>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</si>
  <si>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</si>
  <si>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</si>
  <si>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</si>
  <si>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</si>
  <si>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</si>
  <si>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</si>
  <si>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</si>
  <si>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</si>
  <si>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</si>
  <si>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</si>
  <si>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</si>
  <si>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</si>
  <si>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</si>
  <si>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</si>
  <si>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</si>
  <si>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</si>
  <si>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</si>
  <si>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</si>
  <si>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</si>
  <si>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Relay Omron MKS2P 220 Volt + Socket (Original) + Jasa pemasangan di panel pompa</t>
  </si>
  <si>
    <t>3G Wireless Router + USB Modem Sierra 320U
Brand : TP-Link
Type : MR3420</t>
  </si>
  <si>
    <t>Box Panel 60 x 40 x 20 cm</t>
  </si>
  <si>
    <t>Kabel Cat5e Belden Ori</t>
  </si>
  <si>
    <t>Asesoris pemasangan (Isolasi, kabel power, terminal, kabel UTP, paku klem, fisher)</t>
  </si>
  <si>
    <t>Unit</t>
  </si>
  <si>
    <t>pcs</t>
  </si>
  <si>
    <t>m</t>
  </si>
  <si>
    <t>set</t>
  </si>
  <si>
    <t>roll</t>
  </si>
  <si>
    <t>PEMASANGAN DATA LOG SERVER</t>
  </si>
  <si>
    <t>UPS APC BX650LI-MS / UPS 650VA APC (setara)</t>
  </si>
  <si>
    <t>Rupiah</t>
  </si>
  <si>
    <t>LOKASI: SUMUR BOR xxxxxx</t>
  </si>
  <si>
    <t>Controller Open Source ATMEL ATMega328P, 4ch Analog Input + 4ch Digital Input, termasuk perakitan dan pemrograman unit.</t>
  </si>
  <si>
    <t>Bardi Smart Plug, 220V 16A (setara)</t>
  </si>
  <si>
    <t>Medan,     Juni 2021</t>
  </si>
  <si>
    <t>Arief Siregar</t>
  </si>
  <si>
    <t>Nurleli</t>
  </si>
  <si>
    <t>Kadiv. Produksi</t>
  </si>
  <si>
    <t>...........................................</t>
  </si>
  <si>
    <t>Kabid. ...........................................</t>
  </si>
  <si>
    <t>Kabel Eterna NYYHY 2 x 0.75 (1 roll = 50m)</t>
  </si>
  <si>
    <t xml:space="preserve">Pressure Sensor, Cerabar E+H
Range 0-10 Bar 4-20 mA termasuk pemasangan
</t>
  </si>
  <si>
    <t>Pc Desktop u/ server
Brand : Modified CPU
Type : Intel i5, 4GB Memory, 128 GB SSD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</si>
</sst>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.00000_);_(* \(#,##0.00000\);_(* &quot;-&quot;??_);_(@_)"/>
  </numFmts>
  <fonts count="33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30" fillId="0" borderId="0" applyFont="0" applyFill="0" applyBorder="0" applyAlignment="0" applyProtection="0"/>
  </cellStyleXfs>
  <cellXfs count="114">
    <xf numFmtId="0" fontId="0" fillId="0" borderId="0" xfId="0"/>
    <xf numFmtId="165" fontId="18" fillId="0" borderId="0" xfId="28" applyFont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2" fillId="0" borderId="0" xfId="0" applyFont="1" applyAlignme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1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23" fillId="0" borderId="0" xfId="0" applyFont="1" applyBorder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 applyAlignment="1"/>
    <xf numFmtId="165" fontId="21" fillId="0" borderId="11" xfId="28" applyFont="1" applyBorder="1" applyAlignment="1">
      <alignment horizontal="center"/>
    </xf>
    <xf numFmtId="165" fontId="21" fillId="0" borderId="11" xfId="28" applyNumberFormat="1" applyFont="1" applyBorder="1"/>
    <xf numFmtId="165" fontId="21" fillId="0" borderId="10" xfId="28" applyNumberFormat="1" applyFont="1" applyBorder="1"/>
    <xf numFmtId="165" fontId="19" fillId="0" borderId="10" xfId="28" applyNumberFormat="1" applyFont="1" applyBorder="1"/>
    <xf numFmtId="165" fontId="19" fillId="0" borderId="10" xfId="0" applyNumberFormat="1" applyFont="1" applyBorder="1"/>
    <xf numFmtId="165" fontId="27" fillId="0" borderId="14" xfId="28" applyFont="1" applyBorder="1" applyAlignment="1">
      <alignment vertical="center"/>
    </xf>
    <xf numFmtId="165" fontId="27" fillId="0" borderId="12" xfId="28" applyFont="1" applyBorder="1" applyAlignment="1">
      <alignment vertical="center"/>
    </xf>
    <xf numFmtId="165" fontId="27" fillId="0" borderId="12" xfId="28" applyFont="1" applyBorder="1" applyAlignment="1">
      <alignment horizontal="center" vertical="center"/>
    </xf>
    <xf numFmtId="165" fontId="27" fillId="0" borderId="15" xfId="28" applyFont="1" applyBorder="1" applyAlignment="1">
      <alignment vertical="center"/>
    </xf>
    <xf numFmtId="0" fontId="19" fillId="0" borderId="13" xfId="0" applyFont="1" applyBorder="1"/>
    <xf numFmtId="165" fontId="27" fillId="0" borderId="16" xfId="28" applyFont="1" applyBorder="1" applyAlignment="1">
      <alignment vertical="center"/>
    </xf>
    <xf numFmtId="165" fontId="28" fillId="0" borderId="17" xfId="28" applyFont="1" applyBorder="1" applyAlignment="1">
      <alignment horizontal="left" vertical="center"/>
    </xf>
    <xf numFmtId="165" fontId="28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vertical="center"/>
    </xf>
    <xf numFmtId="165" fontId="27" fillId="0" borderId="18" xfId="28" applyFont="1" applyBorder="1" applyAlignment="1">
      <alignment vertical="center"/>
    </xf>
    <xf numFmtId="0" fontId="19" fillId="0" borderId="10" xfId="0" applyFont="1" applyBorder="1"/>
    <xf numFmtId="167" fontId="18" fillId="0" borderId="0" xfId="28" applyNumberFormat="1" applyFont="1" applyAlignment="1">
      <alignment vertical="top"/>
    </xf>
    <xf numFmtId="165" fontId="29" fillId="0" borderId="0" xfId="28" applyFont="1" applyBorder="1" applyAlignment="1">
      <alignment vertical="top"/>
    </xf>
    <xf numFmtId="164" fontId="31" fillId="24" borderId="0" xfId="44" applyFont="1" applyFill="1"/>
    <xf numFmtId="0" fontId="1" fillId="24" borderId="0" xfId="43" applyFont="1" applyFill="1" applyAlignment="1"/>
    <xf numFmtId="0" fontId="31" fillId="24" borderId="0" xfId="43" applyFont="1" applyFill="1" applyAlignment="1"/>
    <xf numFmtId="164" fontId="1" fillId="24" borderId="0" xfId="43" applyNumberFormat="1" applyFont="1" applyFill="1" applyAlignment="1"/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3" fillId="0" borderId="19" xfId="0" applyFont="1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32" fillId="0" borderId="19" xfId="0" applyFont="1" applyBorder="1" applyAlignment="1">
      <alignment horizontal="left" vertical="top" wrapText="1"/>
    </xf>
    <xf numFmtId="0" fontId="32" fillId="0" borderId="20" xfId="0" applyFont="1" applyBorder="1" applyAlignment="1">
      <alignment horizontal="left" vertical="top" wrapText="1"/>
    </xf>
    <xf numFmtId="43" fontId="32" fillId="0" borderId="11" xfId="28" applyNumberFormat="1" applyFont="1" applyBorder="1" applyAlignment="1">
      <alignment horizontal="center" vertical="top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5390</xdr:row>
      <xdr:rowOff>9525</xdr:rowOff>
    </xdr:from>
    <xdr:to>
      <xdr:col>1</xdr:col>
      <xdr:colOff>593435</xdr:colOff>
      <xdr:row>5390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5479</xdr:row>
      <xdr:rowOff>161925</xdr:rowOff>
    </xdr:from>
    <xdr:to>
      <xdr:col>1</xdr:col>
      <xdr:colOff>541238</xdr:colOff>
      <xdr:row>5480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5534</xdr:row>
      <xdr:rowOff>0</xdr:rowOff>
    </xdr:from>
    <xdr:to>
      <xdr:col>1</xdr:col>
      <xdr:colOff>623534</xdr:colOff>
      <xdr:row>5534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5336</xdr:row>
      <xdr:rowOff>9525</xdr:rowOff>
    </xdr:from>
    <xdr:to>
      <xdr:col>1</xdr:col>
      <xdr:colOff>593435</xdr:colOff>
      <xdr:row>5336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5296</xdr:row>
      <xdr:rowOff>9525</xdr:rowOff>
    </xdr:from>
    <xdr:to>
      <xdr:col>1</xdr:col>
      <xdr:colOff>593435</xdr:colOff>
      <xdr:row>5296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5575</xdr:row>
      <xdr:rowOff>0</xdr:rowOff>
    </xdr:from>
    <xdr:to>
      <xdr:col>1</xdr:col>
      <xdr:colOff>474563</xdr:colOff>
      <xdr:row>5575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1083</xdr:row>
      <xdr:rowOff>180975</xdr:rowOff>
    </xdr:from>
    <xdr:to>
      <xdr:col>1</xdr:col>
      <xdr:colOff>4476750</xdr:colOff>
      <xdr:row>1086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1119</xdr:row>
      <xdr:rowOff>180975</xdr:rowOff>
    </xdr:from>
    <xdr:to>
      <xdr:col>1</xdr:col>
      <xdr:colOff>4476750</xdr:colOff>
      <xdr:row>1122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1191</xdr:row>
      <xdr:rowOff>180975</xdr:rowOff>
    </xdr:from>
    <xdr:to>
      <xdr:col>1</xdr:col>
      <xdr:colOff>4476750</xdr:colOff>
      <xdr:row>1194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1155</xdr:row>
      <xdr:rowOff>180975</xdr:rowOff>
    </xdr:from>
    <xdr:to>
      <xdr:col>1</xdr:col>
      <xdr:colOff>4476750</xdr:colOff>
      <xdr:row>1158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1230</xdr:row>
      <xdr:rowOff>72118</xdr:rowOff>
    </xdr:from>
    <xdr:to>
      <xdr:col>1</xdr:col>
      <xdr:colOff>3333751</xdr:colOff>
      <xdr:row>1231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/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/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/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/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/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/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/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30"/>
  <sheetViews>
    <sheetView tabSelected="1" workbookViewId="0">
      <selection activeCell="B11" sqref="B11:C11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3" customWidth="1"/>
    <col min="5" max="5" width="8.5703125" style="1" customWidth="1"/>
    <col min="6" max="6" width="11" style="1" customWidth="1"/>
    <col min="7" max="7" width="16.28515625" style="1" customWidth="1"/>
    <col min="8" max="8" width="15.57031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33.75">
      <c r="A2" s="3"/>
      <c r="B2" s="101" t="s">
        <v>17</v>
      </c>
      <c r="C2" s="101"/>
      <c r="D2" s="101"/>
      <c r="E2" s="101"/>
      <c r="F2" s="101"/>
      <c r="G2" s="101"/>
      <c r="H2" s="101"/>
      <c r="I2" s="101"/>
    </row>
    <row r="3" spans="1:14" ht="24.75" customHeight="1">
      <c r="A3" s="3"/>
      <c r="B3" s="102" t="s">
        <v>49</v>
      </c>
      <c r="C3" s="102"/>
      <c r="D3" s="102"/>
      <c r="E3" s="102"/>
      <c r="F3" s="102"/>
      <c r="G3" s="102"/>
      <c r="H3" s="102"/>
      <c r="I3" s="102"/>
    </row>
    <row r="4" spans="1:14" ht="26.25">
      <c r="A4" s="9"/>
      <c r="B4" s="103" t="s">
        <v>52</v>
      </c>
      <c r="C4" s="103"/>
      <c r="D4" s="103"/>
      <c r="E4" s="103"/>
      <c r="F4" s="103"/>
      <c r="G4" s="103"/>
      <c r="H4" s="103"/>
      <c r="I4" s="103"/>
    </row>
    <row r="5" spans="1:14" ht="15.75">
      <c r="A5" s="15"/>
      <c r="B5" s="15"/>
      <c r="C5" s="15"/>
      <c r="D5" s="15"/>
      <c r="E5" s="15"/>
      <c r="F5" s="15"/>
      <c r="G5" s="15"/>
      <c r="H5" s="15"/>
      <c r="I5" s="15"/>
    </row>
    <row r="6" spans="1:14" ht="15.75">
      <c r="A6" s="95" t="s">
        <v>0</v>
      </c>
      <c r="B6" s="97" t="s">
        <v>1</v>
      </c>
      <c r="C6" s="98"/>
      <c r="D6" s="95" t="s">
        <v>2</v>
      </c>
      <c r="E6" s="95" t="s">
        <v>3</v>
      </c>
      <c r="F6" s="95" t="s">
        <v>4</v>
      </c>
      <c r="G6" s="4" t="s">
        <v>5</v>
      </c>
      <c r="H6" s="4" t="s">
        <v>6</v>
      </c>
      <c r="I6" s="4" t="s">
        <v>7</v>
      </c>
    </row>
    <row r="7" spans="1:14" ht="15.75">
      <c r="A7" s="96"/>
      <c r="B7" s="99"/>
      <c r="C7" s="100"/>
      <c r="D7" s="96"/>
      <c r="E7" s="96"/>
      <c r="F7" s="96"/>
      <c r="G7" s="5" t="s">
        <v>8</v>
      </c>
      <c r="H7" s="5" t="s">
        <v>8</v>
      </c>
      <c r="I7" s="5" t="s">
        <v>8</v>
      </c>
    </row>
    <row r="8" spans="1:14" ht="15.75">
      <c r="A8" s="4" t="s">
        <v>9</v>
      </c>
      <c r="B8" s="12" t="s">
        <v>18</v>
      </c>
      <c r="C8" s="11"/>
      <c r="D8" s="10"/>
      <c r="E8" s="6"/>
      <c r="F8" s="6"/>
      <c r="G8" s="6"/>
      <c r="H8" s="7"/>
      <c r="I8" s="8"/>
    </row>
    <row r="9" spans="1:14" s="67" customFormat="1" ht="54" customHeight="1">
      <c r="A9" s="63">
        <v>1</v>
      </c>
      <c r="B9" s="104" t="s">
        <v>53</v>
      </c>
      <c r="C9" s="105"/>
      <c r="D9" s="64">
        <v>1</v>
      </c>
      <c r="E9" s="63" t="s">
        <v>16</v>
      </c>
      <c r="F9" s="63" t="s">
        <v>16</v>
      </c>
      <c r="G9" s="65">
        <v>12000000</v>
      </c>
      <c r="H9" s="65">
        <f>+G9*D9</f>
        <v>12000000</v>
      </c>
      <c r="I9" s="66"/>
      <c r="M9" s="67">
        <f>280000/6</f>
        <v>46666.666666666664</v>
      </c>
      <c r="N9" s="67">
        <f>12*220</f>
        <v>2640</v>
      </c>
    </row>
    <row r="10" spans="1:14" s="67" customFormat="1" ht="47.25" customHeight="1">
      <c r="A10" s="63">
        <f>+A9+1</f>
        <v>2</v>
      </c>
      <c r="B10" s="106" t="s">
        <v>63</v>
      </c>
      <c r="C10" s="107"/>
      <c r="D10" s="64">
        <v>1</v>
      </c>
      <c r="E10" s="63" t="s">
        <v>44</v>
      </c>
      <c r="F10" s="63" t="s">
        <v>10</v>
      </c>
      <c r="G10" s="90">
        <v>5000000</v>
      </c>
      <c r="H10" s="65">
        <f>+G10*D10</f>
        <v>5000000</v>
      </c>
      <c r="I10" s="66"/>
      <c r="N10" s="67">
        <f>+N8/2.5</f>
        <v>0</v>
      </c>
    </row>
    <row r="11" spans="1:14" s="67" customFormat="1" ht="34.5" customHeight="1">
      <c r="A11" s="63">
        <f t="shared" ref="A11:A13" si="0">+A10+1</f>
        <v>3</v>
      </c>
      <c r="B11" s="111" t="s">
        <v>62</v>
      </c>
      <c r="C11" s="112"/>
      <c r="D11" s="64">
        <v>1</v>
      </c>
      <c r="E11" s="63" t="s">
        <v>44</v>
      </c>
      <c r="F11" s="63" t="s">
        <v>10</v>
      </c>
      <c r="G11" s="113">
        <v>3400000</v>
      </c>
      <c r="H11" s="65">
        <f>+G11*D11</f>
        <v>3400000</v>
      </c>
      <c r="I11" s="66"/>
      <c r="N11" s="67">
        <f>+N8/2.5</f>
        <v>0</v>
      </c>
    </row>
    <row r="12" spans="1:14" s="67" customFormat="1" ht="34.5" customHeight="1">
      <c r="A12" s="63">
        <f t="shared" si="0"/>
        <v>4</v>
      </c>
      <c r="B12" s="106" t="s">
        <v>54</v>
      </c>
      <c r="C12" s="107"/>
      <c r="D12" s="64">
        <v>1</v>
      </c>
      <c r="E12" s="63" t="s">
        <v>44</v>
      </c>
      <c r="F12" s="63" t="s">
        <v>10</v>
      </c>
      <c r="G12" s="65">
        <v>200000</v>
      </c>
      <c r="H12" s="65">
        <f>+G12*D12</f>
        <v>200000</v>
      </c>
      <c r="I12" s="66"/>
      <c r="N12" s="67">
        <f>+N9/2.5</f>
        <v>1056</v>
      </c>
    </row>
    <row r="13" spans="1:14" s="67" customFormat="1" ht="38.25" customHeight="1">
      <c r="A13" s="63">
        <f t="shared" si="0"/>
        <v>5</v>
      </c>
      <c r="B13" s="106" t="s">
        <v>39</v>
      </c>
      <c r="C13" s="107"/>
      <c r="D13" s="64">
        <v>5</v>
      </c>
      <c r="E13" s="63" t="s">
        <v>45</v>
      </c>
      <c r="F13" s="63" t="s">
        <v>10</v>
      </c>
      <c r="G13" s="65">
        <v>225000</v>
      </c>
      <c r="H13" s="65">
        <f>+G13*D13</f>
        <v>1125000</v>
      </c>
      <c r="I13" s="66"/>
      <c r="N13" s="67">
        <f>+N12-220-100</f>
        <v>736</v>
      </c>
    </row>
    <row r="14" spans="1:14" s="67" customFormat="1" ht="48.75" customHeight="1">
      <c r="A14" s="63">
        <f t="shared" ref="A14:A18" si="1">+A13+1</f>
        <v>6</v>
      </c>
      <c r="B14" s="106" t="s">
        <v>40</v>
      </c>
      <c r="C14" s="107"/>
      <c r="D14" s="64">
        <v>1</v>
      </c>
      <c r="E14" s="63" t="s">
        <v>47</v>
      </c>
      <c r="F14" s="63" t="s">
        <v>10</v>
      </c>
      <c r="G14" s="65">
        <v>800000</v>
      </c>
      <c r="H14" s="65">
        <f t="shared" ref="H14" si="2">+G14*D14</f>
        <v>800000</v>
      </c>
      <c r="I14" s="66"/>
      <c r="K14" s="67">
        <f>24*3*2</f>
        <v>144</v>
      </c>
    </row>
    <row r="15" spans="1:14" s="67" customFormat="1" ht="18" customHeight="1">
      <c r="A15" s="63">
        <f>+A14+1</f>
        <v>7</v>
      </c>
      <c r="B15" s="106" t="s">
        <v>41</v>
      </c>
      <c r="C15" s="107"/>
      <c r="D15" s="64">
        <f>+D12</f>
        <v>1</v>
      </c>
      <c r="E15" s="63" t="s">
        <v>32</v>
      </c>
      <c r="F15" s="63" t="s">
        <v>10</v>
      </c>
      <c r="G15" s="65">
        <v>500000</v>
      </c>
      <c r="H15" s="65">
        <f>G15*D15</f>
        <v>500000</v>
      </c>
      <c r="I15" s="66"/>
      <c r="N15" s="89">
        <f>12/N12</f>
        <v>1.1363636363636364E-2</v>
      </c>
    </row>
    <row r="16" spans="1:14" s="67" customFormat="1" ht="18" customHeight="1">
      <c r="A16" s="63">
        <f t="shared" si="1"/>
        <v>8</v>
      </c>
      <c r="B16" s="108" t="s">
        <v>50</v>
      </c>
      <c r="C16" s="107"/>
      <c r="D16" s="64">
        <v>1</v>
      </c>
      <c r="E16" s="63" t="s">
        <v>32</v>
      </c>
      <c r="F16" s="63" t="s">
        <v>10</v>
      </c>
      <c r="G16" s="65">
        <v>600000</v>
      </c>
      <c r="H16" s="65">
        <f>G16*D16</f>
        <v>600000</v>
      </c>
      <c r="I16" s="66"/>
      <c r="N16" s="89">
        <f>12/N13</f>
        <v>1.6304347826086956E-2</v>
      </c>
    </row>
    <row r="17" spans="1:24" s="67" customFormat="1" ht="18" customHeight="1">
      <c r="A17" s="63">
        <f t="shared" si="1"/>
        <v>9</v>
      </c>
      <c r="B17" s="106" t="s">
        <v>42</v>
      </c>
      <c r="C17" s="107"/>
      <c r="D17" s="64">
        <v>50</v>
      </c>
      <c r="E17" s="63" t="s">
        <v>46</v>
      </c>
      <c r="F17" s="63" t="s">
        <v>10</v>
      </c>
      <c r="G17" s="65">
        <v>5000</v>
      </c>
      <c r="H17" s="65">
        <f t="shared" ref="H17:H19" si="3">+G17*D17</f>
        <v>250000</v>
      </c>
      <c r="I17" s="66"/>
      <c r="K17" s="67">
        <f>24*3*2</f>
        <v>144</v>
      </c>
      <c r="N17" s="67">
        <f>+N15*N15*N13</f>
        <v>9.5041322314049589E-2</v>
      </c>
    </row>
    <row r="18" spans="1:24" s="67" customFormat="1" ht="19.5" customHeight="1">
      <c r="A18" s="63">
        <f t="shared" si="1"/>
        <v>10</v>
      </c>
      <c r="B18" s="108" t="s">
        <v>61</v>
      </c>
      <c r="C18" s="107"/>
      <c r="D18" s="64">
        <v>2</v>
      </c>
      <c r="E18" s="63" t="s">
        <v>48</v>
      </c>
      <c r="F18" s="63" t="s">
        <v>10</v>
      </c>
      <c r="G18" s="65">
        <v>200000</v>
      </c>
      <c r="H18" s="65">
        <f t="shared" si="3"/>
        <v>400000</v>
      </c>
      <c r="I18" s="66"/>
      <c r="K18" s="67">
        <f>24*3*2</f>
        <v>144</v>
      </c>
    </row>
    <row r="19" spans="1:24" s="67" customFormat="1" ht="36" customHeight="1">
      <c r="A19" s="63">
        <f t="shared" ref="A19" si="4">+A18+1</f>
        <v>11</v>
      </c>
      <c r="B19" s="104" t="s">
        <v>43</v>
      </c>
      <c r="C19" s="105"/>
      <c r="D19" s="64">
        <v>1</v>
      </c>
      <c r="E19" s="63" t="s">
        <v>16</v>
      </c>
      <c r="F19" s="63" t="s">
        <v>16</v>
      </c>
      <c r="G19" s="65">
        <v>300000</v>
      </c>
      <c r="H19" s="65">
        <f t="shared" si="3"/>
        <v>300000</v>
      </c>
      <c r="I19" s="66"/>
      <c r="K19" s="67">
        <f>24*3*2</f>
        <v>144</v>
      </c>
      <c r="N19" s="67">
        <f>12*220/(220+100+1000)</f>
        <v>2</v>
      </c>
    </row>
    <row r="20" spans="1:24" ht="15.75">
      <c r="A20" s="71"/>
      <c r="B20" s="69"/>
      <c r="C20" s="70"/>
      <c r="D20" s="72"/>
      <c r="E20" s="68"/>
      <c r="F20" s="68"/>
      <c r="G20" s="73"/>
      <c r="H20" s="74"/>
      <c r="I20" s="75">
        <f>SUM(H9:H20)</f>
        <v>24575000</v>
      </c>
      <c r="N20" s="91">
        <f>I22</f>
        <v>24575000</v>
      </c>
      <c r="O20" s="92">
        <v>1</v>
      </c>
      <c r="P20" s="92">
        <f>+O20*10</f>
        <v>10</v>
      </c>
      <c r="Q20" s="92">
        <f t="shared" ref="Q20:X20" si="5">+P20*10</f>
        <v>100</v>
      </c>
      <c r="R20" s="92">
        <f t="shared" si="5"/>
        <v>1000</v>
      </c>
      <c r="S20" s="92">
        <f t="shared" si="5"/>
        <v>10000</v>
      </c>
      <c r="T20" s="92">
        <f t="shared" si="5"/>
        <v>100000</v>
      </c>
      <c r="U20" s="92">
        <f t="shared" si="5"/>
        <v>1000000</v>
      </c>
      <c r="V20" s="92">
        <f t="shared" si="5"/>
        <v>10000000</v>
      </c>
      <c r="W20" s="92">
        <f t="shared" si="5"/>
        <v>100000000</v>
      </c>
      <c r="X20" s="92">
        <f t="shared" si="5"/>
        <v>1000000000</v>
      </c>
    </row>
    <row r="21" spans="1:24" ht="15.75">
      <c r="A21" s="77"/>
      <c r="B21" s="78" t="s">
        <v>19</v>
      </c>
      <c r="C21" s="78"/>
      <c r="D21" s="79"/>
      <c r="E21" s="78"/>
      <c r="F21" s="78"/>
      <c r="G21" s="80"/>
      <c r="H21" s="81" t="s">
        <v>11</v>
      </c>
      <c r="I21" s="7">
        <f>+I20</f>
        <v>24575000</v>
      </c>
      <c r="N21" s="93" t="s">
        <v>51</v>
      </c>
      <c r="O21" s="92">
        <v>0</v>
      </c>
      <c r="P21" s="94">
        <f>MOD(N20,P20)</f>
        <v>0</v>
      </c>
      <c r="Q21" s="94">
        <f>MOD(N20,Q20)</f>
        <v>0</v>
      </c>
      <c r="R21" s="94">
        <f>MOD(N20,R20)</f>
        <v>0</v>
      </c>
      <c r="S21" s="94">
        <f>MOD(N20,S20)</f>
        <v>5000</v>
      </c>
      <c r="T21" s="94">
        <f>MOD(N20,T20)</f>
        <v>75000</v>
      </c>
      <c r="U21" s="94">
        <f>MOD(N20,U20)</f>
        <v>575000</v>
      </c>
      <c r="V21" s="94">
        <f>MOD(N20,V20)</f>
        <v>4575000</v>
      </c>
      <c r="W21" s="94">
        <f>MOD(N20,W20)</f>
        <v>24575000</v>
      </c>
      <c r="X21" s="94">
        <f>MOD(N20,X20)</f>
        <v>24575000</v>
      </c>
    </row>
    <row r="22" spans="1:24" ht="15.75">
      <c r="A22" s="82"/>
      <c r="B22" s="83" t="str">
        <f>N28</f>
        <v>Dua Puluh Empat Juta Lima Ratus Tujuh Puluh Lima Ribu Rupiah</v>
      </c>
      <c r="C22" s="84"/>
      <c r="D22" s="85"/>
      <c r="E22" s="86"/>
      <c r="F22" s="86"/>
      <c r="G22" s="87"/>
      <c r="H22" s="88" t="s">
        <v>12</v>
      </c>
      <c r="I22" s="76">
        <f>ROUND(I21,-3)</f>
        <v>24575000</v>
      </c>
      <c r="K22" s="1">
        <f>25000000-I22</f>
        <v>425000</v>
      </c>
      <c r="N22" s="92"/>
      <c r="O22" s="92"/>
      <c r="P22" s="92">
        <f t="shared" ref="P22:U22" si="6">+P21-O21</f>
        <v>0</v>
      </c>
      <c r="Q22" s="92">
        <f t="shared" si="6"/>
        <v>0</v>
      </c>
      <c r="R22" s="92">
        <f t="shared" si="6"/>
        <v>0</v>
      </c>
      <c r="S22" s="92">
        <f t="shared" si="6"/>
        <v>5000</v>
      </c>
      <c r="T22" s="92">
        <f t="shared" si="6"/>
        <v>70000</v>
      </c>
      <c r="U22" s="92">
        <f t="shared" si="6"/>
        <v>500000</v>
      </c>
      <c r="V22" s="92">
        <f>+V21-U21</f>
        <v>4000000</v>
      </c>
      <c r="W22" s="92">
        <f t="shared" ref="W22:X22" si="7">+W21-V21</f>
        <v>20000000</v>
      </c>
      <c r="X22" s="92">
        <f t="shared" si="7"/>
        <v>0</v>
      </c>
    </row>
    <row r="23" spans="1:24" ht="15.75">
      <c r="A23" s="2"/>
      <c r="B23" s="2"/>
      <c r="C23" s="2"/>
      <c r="D23" s="14"/>
      <c r="E23" s="2"/>
      <c r="F23" s="2"/>
      <c r="G23" s="2"/>
      <c r="H23" s="2"/>
      <c r="I23" s="2"/>
      <c r="N23" s="92"/>
      <c r="O23" s="92"/>
      <c r="P23" s="92">
        <f t="shared" ref="P23:U23" si="8">+P22*10/P20</f>
        <v>0</v>
      </c>
      <c r="Q23" s="92">
        <f t="shared" si="8"/>
        <v>0</v>
      </c>
      <c r="R23" s="92">
        <f t="shared" si="8"/>
        <v>0</v>
      </c>
      <c r="S23" s="92">
        <f t="shared" si="8"/>
        <v>5</v>
      </c>
      <c r="T23" s="92">
        <f t="shared" si="8"/>
        <v>7</v>
      </c>
      <c r="U23" s="92">
        <f t="shared" si="8"/>
        <v>5</v>
      </c>
      <c r="V23" s="92">
        <f>+V22*10/V20</f>
        <v>4</v>
      </c>
      <c r="W23" s="92">
        <f t="shared" ref="W23:X23" si="9">+W22*10/W20</f>
        <v>2</v>
      </c>
      <c r="X23" s="92">
        <f t="shared" si="9"/>
        <v>0</v>
      </c>
    </row>
    <row r="24" spans="1:24" ht="15.75">
      <c r="A24" s="2"/>
      <c r="B24" s="2"/>
      <c r="C24" s="2"/>
      <c r="D24" s="17"/>
      <c r="E24" s="2"/>
      <c r="F24" s="2"/>
      <c r="G24" s="2"/>
      <c r="H24" s="109" t="s">
        <v>55</v>
      </c>
      <c r="I24" s="109"/>
      <c r="N24" s="92"/>
      <c r="O24" s="92"/>
      <c r="P24" s="92" t="str">
        <f>IF(AND(P23&gt;0,Q23&lt;&gt;1),CHOOSE(P23,"satu","dua","tiga","empat","lima","enam","tujuh","delapan","sembilan"),"")</f>
        <v/>
      </c>
      <c r="Q24" s="92" t="str">
        <f>IF(Q23&gt;0,CHOOSE(Q23,CHOOSE(P23+1,"se","se","dua","tiga","empat","lima","enam","tujuh","delapan","sembilan"),"dua","tiga","empat","lima","enam","tujuh","delapan","sembilan"),"")</f>
        <v/>
      </c>
      <c r="R24" s="92" t="str">
        <f>IF(R23&gt;0,CHOOSE(R23,"se","dua","tiga","empat","lima","enam","tujuh","delapan","sembilan"),"")</f>
        <v/>
      </c>
      <c r="S24" s="92" t="str">
        <f>IF(AND(S23&gt;0,T23&lt;&gt;1),CHOOSE(S23,"satu","dua","tiga","empat","lima","enam","tujuh","delapan","sembilan"),"")</f>
        <v>lima</v>
      </c>
      <c r="T24" s="92" t="str">
        <f>IF(T23&gt;0,CHOOSE(T23,CHOOSE(S23+1,"se","se","dua","tiga","empat","lima","enam","tujuh","delapan","sembilan"),"dua","tiga","empat","lima","enam","tujuh","delapan","sembilan"),"")</f>
        <v>tujuh</v>
      </c>
      <c r="U24" s="92" t="str">
        <f>IF(U23&gt;0,CHOOSE(U23,"se","dua","tiga","empat","lima","enam","tujuh","delapan","sembilan"),"")</f>
        <v>lima</v>
      </c>
      <c r="V24" s="92" t="str">
        <f>IF(AND(V23&gt;0,W23&lt;&gt;1),CHOOSE(V23,"satu","dua","tiga","empat","lima","enam","tujuh","delapan","sembilan"),"")</f>
        <v>empat</v>
      </c>
      <c r="W24" s="92" t="str">
        <f>IF(W23&gt;0,CHOOSE(W23,CHOOSE(V23+1,"","se","dua","tiga","empat","lima","enam","tujuh","delapan","sembilan"),"dua","tiga","empat","lima","enam","tujuh","delapan","sembilan"),"")</f>
        <v>dua</v>
      </c>
      <c r="X24" s="92" t="str">
        <f>IF(X23&gt;0,CHOOSE(X23,"se","dua","tiga","empat","lima","enam","tujuh","delapan","sembilan"),"")</f>
        <v/>
      </c>
    </row>
    <row r="25" spans="1:24" ht="15.75">
      <c r="A25" s="109" t="s">
        <v>13</v>
      </c>
      <c r="B25" s="109"/>
      <c r="C25" s="109"/>
      <c r="D25" s="109" t="s">
        <v>14</v>
      </c>
      <c r="E25" s="109"/>
      <c r="F25" s="109"/>
      <c r="G25" s="2"/>
      <c r="H25" s="109" t="s">
        <v>15</v>
      </c>
      <c r="I25" s="109"/>
      <c r="N25" s="92"/>
      <c r="O25" s="92"/>
      <c r="P25" s="92"/>
      <c r="Q25" s="92" t="str">
        <f>IF(Q23&gt;0,IF(AND(Q23=1,P23&gt;0)," belas "," puluh "),"")</f>
        <v/>
      </c>
      <c r="R25" s="92" t="str">
        <f>IF(R23&gt;0," ratus ","")</f>
        <v/>
      </c>
      <c r="S25" s="92" t="str">
        <f>IF(SUM(S23,U23)&gt;0," ribu ","")</f>
        <v xml:space="preserve"> ribu </v>
      </c>
      <c r="T25" s="92" t="str">
        <f>IF(T23&gt;0,IF(AND(T23=1,S23&gt;0)," belas "," puluh "),"")</f>
        <v xml:space="preserve"> puluh </v>
      </c>
      <c r="U25" s="92" t="str">
        <f>IF(U23&gt;0," ratus ","")</f>
        <v xml:space="preserve"> ratus </v>
      </c>
      <c r="V25" s="92" t="str">
        <f>IF(SUM(V23,X23)&gt;0," juta ","")</f>
        <v xml:space="preserve"> juta </v>
      </c>
      <c r="W25" s="92" t="str">
        <f>IF(W23&gt;0,IF(AND(W23=1,V23&gt;0)," belas "," puluh "),"")</f>
        <v xml:space="preserve"> puluh </v>
      </c>
      <c r="X25" s="92" t="str">
        <f>IF(X23&gt;0," ratus ","")</f>
        <v/>
      </c>
    </row>
    <row r="26" spans="1:24" ht="15.75">
      <c r="A26" s="2"/>
      <c r="B26" s="2"/>
      <c r="C26" s="2"/>
      <c r="D26" s="17"/>
      <c r="E26" s="2"/>
      <c r="F26" s="2"/>
      <c r="G26" s="2"/>
      <c r="H26" s="2"/>
      <c r="I26" s="2"/>
      <c r="N26" s="92"/>
      <c r="O26" s="92"/>
      <c r="P26" s="92" t="str">
        <f>CONCATENATE(P24,P19)</f>
        <v/>
      </c>
      <c r="Q26" s="92" t="str">
        <f t="shared" ref="Q26:X26" si="10">CONCATENATE(Q24,Q25)</f>
        <v/>
      </c>
      <c r="R26" s="92" t="str">
        <f t="shared" si="10"/>
        <v/>
      </c>
      <c r="S26" s="92" t="str">
        <f t="shared" si="10"/>
        <v xml:space="preserve">lima ribu </v>
      </c>
      <c r="T26" s="92" t="str">
        <f t="shared" si="10"/>
        <v xml:space="preserve">tujuh puluh </v>
      </c>
      <c r="U26" s="92" t="str">
        <f t="shared" si="10"/>
        <v xml:space="preserve">lima ratus </v>
      </c>
      <c r="V26" s="92" t="str">
        <f t="shared" si="10"/>
        <v xml:space="preserve">empat juta </v>
      </c>
      <c r="W26" s="92" t="str">
        <f t="shared" si="10"/>
        <v xml:space="preserve">dua puluh </v>
      </c>
      <c r="X26" s="92" t="str">
        <f t="shared" si="10"/>
        <v/>
      </c>
    </row>
    <row r="27" spans="1:24" ht="15.75">
      <c r="A27" s="2"/>
      <c r="B27" s="2"/>
      <c r="C27" s="2"/>
      <c r="D27" s="14"/>
      <c r="E27" s="2"/>
      <c r="F27" s="2"/>
      <c r="G27" s="2"/>
      <c r="H27" s="2"/>
      <c r="I27" s="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</row>
    <row r="28" spans="1:24" ht="15.75">
      <c r="A28" s="2"/>
      <c r="B28" s="2"/>
      <c r="C28" s="2"/>
      <c r="D28" s="14"/>
      <c r="E28" s="2"/>
      <c r="F28" s="2"/>
      <c r="G28" s="2"/>
      <c r="H28" s="2"/>
      <c r="I28" s="2"/>
      <c r="N28" s="93" t="str">
        <f>PROPER(CONCATENATE(X26,W26,V26,U26,T26,S26,R26,Q26,P26,N21))</f>
        <v>Dua Puluh Empat Juta Lima Ratus Tujuh Puluh Lima Ribu Rupiah</v>
      </c>
      <c r="O28" s="92"/>
      <c r="P28" s="92"/>
      <c r="Q28" s="92"/>
      <c r="R28" s="92"/>
      <c r="S28" s="92"/>
      <c r="T28" s="92"/>
      <c r="U28" s="92"/>
      <c r="V28" s="92"/>
      <c r="W28" s="92"/>
      <c r="X28" s="92"/>
    </row>
    <row r="29" spans="1:24" ht="15.75">
      <c r="A29" s="110" t="s">
        <v>57</v>
      </c>
      <c r="B29" s="110"/>
      <c r="C29" s="110"/>
      <c r="D29" s="110" t="s">
        <v>56</v>
      </c>
      <c r="E29" s="110"/>
      <c r="F29" s="110"/>
      <c r="G29" s="2"/>
      <c r="H29" s="110" t="s">
        <v>59</v>
      </c>
      <c r="I29" s="110"/>
    </row>
    <row r="30" spans="1:24" ht="15.75">
      <c r="A30" s="109" t="s">
        <v>20</v>
      </c>
      <c r="B30" s="109"/>
      <c r="C30" s="109"/>
      <c r="D30" s="109" t="s">
        <v>58</v>
      </c>
      <c r="E30" s="109"/>
      <c r="F30" s="109"/>
      <c r="G30" s="2"/>
      <c r="H30" s="109" t="s">
        <v>60</v>
      </c>
      <c r="I30" s="109"/>
    </row>
  </sheetData>
  <mergeCells count="29">
    <mergeCell ref="H24:I24"/>
    <mergeCell ref="A25:C25"/>
    <mergeCell ref="D25:F25"/>
    <mergeCell ref="H25:I25"/>
    <mergeCell ref="A30:C30"/>
    <mergeCell ref="D30:F30"/>
    <mergeCell ref="H30:I30"/>
    <mergeCell ref="A29:C29"/>
    <mergeCell ref="D29:F29"/>
    <mergeCell ref="H29:I29"/>
    <mergeCell ref="B2:I2"/>
    <mergeCell ref="B3:I3"/>
    <mergeCell ref="B4:I4"/>
    <mergeCell ref="B9:C9"/>
    <mergeCell ref="B19:C19"/>
    <mergeCell ref="B12:C12"/>
    <mergeCell ref="B13:C13"/>
    <mergeCell ref="B14:C14"/>
    <mergeCell ref="B15:C15"/>
    <mergeCell ref="B17:C17"/>
    <mergeCell ref="B18:C18"/>
    <mergeCell ref="B16:C16"/>
    <mergeCell ref="B11:C11"/>
    <mergeCell ref="B10:C10"/>
    <mergeCell ref="A6:A7"/>
    <mergeCell ref="B6:C7"/>
    <mergeCell ref="D6:D7"/>
    <mergeCell ref="E6:E7"/>
    <mergeCell ref="F6:F7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" sqref="C1:M218"/>
    </sheetView>
  </sheetViews>
  <sheetFormatPr defaultRowHeight="15"/>
  <cols>
    <col min="1" max="16384" width="9.14062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5546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8"/>
      <c r="N10" s="42"/>
      <c r="O10" s="19"/>
      <c r="P10" s="19"/>
      <c r="Q10" s="19"/>
      <c r="R10" s="32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0"/>
    </row>
    <row r="11" spans="13:47" ht="19.5" customHeight="1">
      <c r="M11" s="21"/>
      <c r="N11" s="43"/>
      <c r="O11" s="22"/>
      <c r="P11" s="22"/>
      <c r="Q11" s="22"/>
      <c r="R11" s="30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3:47" ht="19.5" customHeight="1" thickBot="1">
      <c r="M12" s="21"/>
      <c r="N12" s="43"/>
      <c r="O12" s="22"/>
      <c r="P12" s="22"/>
      <c r="Q12" s="22"/>
      <c r="R12" s="30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3:47" ht="19.5" customHeight="1">
      <c r="M13" s="21"/>
      <c r="N13" s="43"/>
      <c r="O13" s="22"/>
      <c r="P13" s="22"/>
      <c r="Q13" s="22"/>
      <c r="R13" s="30"/>
      <c r="S13" s="22"/>
      <c r="T13" s="18"/>
      <c r="U13" s="19"/>
      <c r="V13" s="19"/>
      <c r="W13" s="19"/>
      <c r="X13" s="20"/>
      <c r="Y13" s="22"/>
      <c r="Z13" s="22"/>
      <c r="AA13" s="18"/>
      <c r="AB13" s="19"/>
      <c r="AC13" s="19"/>
      <c r="AD13" s="19"/>
      <c r="AE13" s="20"/>
      <c r="AF13" s="22"/>
      <c r="AG13" s="22"/>
      <c r="AH13" s="18"/>
      <c r="AI13" s="19"/>
      <c r="AJ13" s="19"/>
      <c r="AK13" s="19"/>
      <c r="AL13" s="20"/>
      <c r="AM13" s="22"/>
      <c r="AN13" s="22"/>
      <c r="AO13" s="18"/>
      <c r="AP13" s="19"/>
      <c r="AQ13" s="19"/>
      <c r="AR13" s="19"/>
      <c r="AS13" s="20"/>
      <c r="AT13" s="22"/>
      <c r="AU13" s="23"/>
    </row>
    <row r="14" spans="13:47" ht="19.5" customHeight="1">
      <c r="M14" s="21"/>
      <c r="N14" s="43"/>
      <c r="O14" s="22"/>
      <c r="P14" s="22"/>
      <c r="Q14" s="22"/>
      <c r="R14" s="30"/>
      <c r="S14" s="22"/>
      <c r="T14" s="21"/>
      <c r="U14" s="22"/>
      <c r="V14" s="22"/>
      <c r="W14" s="22"/>
      <c r="X14" s="23"/>
      <c r="Y14" s="22"/>
      <c r="Z14" s="22"/>
      <c r="AA14" s="21"/>
      <c r="AB14" s="22"/>
      <c r="AC14" s="22"/>
      <c r="AD14" s="22"/>
      <c r="AE14" s="23"/>
      <c r="AF14" s="22"/>
      <c r="AG14" s="22"/>
      <c r="AH14" s="21"/>
      <c r="AI14" s="22"/>
      <c r="AJ14" s="22"/>
      <c r="AK14" s="22"/>
      <c r="AL14" s="23"/>
      <c r="AM14" s="22"/>
      <c r="AN14" s="22"/>
      <c r="AO14" s="21"/>
      <c r="AP14" s="22"/>
      <c r="AQ14" s="22"/>
      <c r="AR14" s="22"/>
      <c r="AS14" s="23"/>
      <c r="AT14" s="22"/>
      <c r="AU14" s="23"/>
    </row>
    <row r="15" spans="13:47" ht="19.5" customHeight="1">
      <c r="M15" s="33"/>
      <c r="N15" s="44"/>
      <c r="O15" s="28"/>
      <c r="P15" s="28"/>
      <c r="Q15" s="28"/>
      <c r="R15" s="31"/>
      <c r="S15" s="22"/>
      <c r="T15" s="21"/>
      <c r="U15" s="22"/>
      <c r="V15" s="22"/>
      <c r="W15" s="22"/>
      <c r="X15" s="23"/>
      <c r="Y15" s="22"/>
      <c r="Z15" s="22"/>
      <c r="AA15" s="21"/>
      <c r="AB15" s="22"/>
      <c r="AC15" s="22"/>
      <c r="AD15" s="22"/>
      <c r="AE15" s="23"/>
      <c r="AF15" s="22"/>
      <c r="AG15" s="22"/>
      <c r="AH15" s="21"/>
      <c r="AI15" s="60" t="s">
        <v>31</v>
      </c>
      <c r="AJ15" s="22"/>
      <c r="AK15" s="22"/>
      <c r="AL15" s="23"/>
      <c r="AM15" s="22"/>
      <c r="AN15" s="22"/>
      <c r="AO15" s="21"/>
      <c r="AP15" s="22"/>
      <c r="AQ15" s="22"/>
      <c r="AR15" s="22"/>
      <c r="AS15" s="23"/>
      <c r="AT15" s="22"/>
      <c r="AU15" s="23"/>
    </row>
    <row r="16" spans="13:47" ht="19.5" customHeight="1">
      <c r="M16" s="21"/>
      <c r="N16" s="43"/>
      <c r="O16" s="22"/>
      <c r="P16" s="22"/>
      <c r="Q16" s="22"/>
      <c r="R16" s="30"/>
      <c r="S16" s="22"/>
      <c r="T16" s="21"/>
      <c r="U16" s="22"/>
      <c r="V16" s="22"/>
      <c r="W16" s="22"/>
      <c r="X16" s="23"/>
      <c r="Y16" s="22"/>
      <c r="Z16" s="22"/>
      <c r="AA16" s="21"/>
      <c r="AB16" s="22"/>
      <c r="AC16" s="22"/>
      <c r="AD16" s="22"/>
      <c r="AE16" s="23"/>
      <c r="AF16" s="22"/>
      <c r="AG16" s="22"/>
      <c r="AH16" s="21"/>
      <c r="AI16" s="22"/>
      <c r="AJ16" s="22"/>
      <c r="AK16" s="22"/>
      <c r="AL16" s="23"/>
      <c r="AM16" s="22"/>
      <c r="AN16" s="22"/>
      <c r="AO16" s="21"/>
      <c r="AP16" s="22"/>
      <c r="AQ16" s="22"/>
      <c r="AR16" s="22"/>
      <c r="AS16" s="23"/>
      <c r="AT16" s="22"/>
      <c r="AU16" s="23"/>
    </row>
    <row r="17" spans="11:47" ht="19.5" customHeight="1">
      <c r="M17" s="21"/>
      <c r="N17" s="43"/>
      <c r="O17" s="22"/>
      <c r="P17" s="22"/>
      <c r="Q17" s="22"/>
      <c r="R17" s="30"/>
      <c r="S17" s="22"/>
      <c r="T17" s="21"/>
      <c r="U17" s="22"/>
      <c r="V17" s="22"/>
      <c r="W17" s="22"/>
      <c r="X17" s="23"/>
      <c r="Y17" s="22"/>
      <c r="Z17" s="22"/>
      <c r="AA17" s="21">
        <v>170</v>
      </c>
      <c r="AB17" s="22"/>
      <c r="AC17" s="22"/>
      <c r="AD17" s="22"/>
      <c r="AE17" s="23"/>
      <c r="AF17" s="22">
        <v>50</v>
      </c>
      <c r="AG17" s="22"/>
      <c r="AH17" s="21"/>
      <c r="AI17" s="22"/>
      <c r="AJ17" s="22"/>
      <c r="AK17" s="22"/>
      <c r="AL17" s="23"/>
      <c r="AM17" s="22"/>
      <c r="AN17" s="22"/>
      <c r="AO17" s="21"/>
      <c r="AP17" s="22"/>
      <c r="AQ17" s="22"/>
      <c r="AR17" s="22"/>
      <c r="AS17" s="23"/>
      <c r="AT17" s="22"/>
      <c r="AU17" s="23"/>
    </row>
    <row r="18" spans="11:47" ht="19.5" customHeight="1">
      <c r="M18" s="34"/>
      <c r="N18" s="45"/>
      <c r="O18" s="27"/>
      <c r="P18" s="27"/>
      <c r="Q18" s="27"/>
      <c r="R18" s="29"/>
      <c r="S18" s="22"/>
      <c r="T18" s="21"/>
      <c r="U18" s="22"/>
      <c r="V18" s="22"/>
      <c r="W18" s="22"/>
      <c r="X18" s="23"/>
      <c r="Y18" s="22"/>
      <c r="Z18" s="22"/>
      <c r="AA18" s="21"/>
      <c r="AB18" s="22"/>
      <c r="AC18" s="22"/>
      <c r="AD18" s="22"/>
      <c r="AE18" s="23"/>
      <c r="AF18" s="22"/>
      <c r="AG18" s="22"/>
      <c r="AH18" s="21"/>
      <c r="AI18" s="22"/>
      <c r="AJ18" s="22"/>
      <c r="AK18" s="22"/>
      <c r="AL18" s="23"/>
      <c r="AM18" s="22"/>
      <c r="AN18" s="22"/>
      <c r="AO18" s="21"/>
      <c r="AP18" s="22"/>
      <c r="AQ18" s="22"/>
      <c r="AR18" s="22"/>
      <c r="AS18" s="23"/>
      <c r="AT18" s="22"/>
      <c r="AU18" s="23"/>
    </row>
    <row r="19" spans="11:47" ht="19.5" customHeight="1">
      <c r="K19">
        <v>300</v>
      </c>
      <c r="M19" s="33"/>
      <c r="N19" s="44"/>
      <c r="O19" s="28"/>
      <c r="P19" s="28"/>
      <c r="Q19" s="28"/>
      <c r="R19" s="31"/>
      <c r="S19" s="22"/>
      <c r="T19" s="21"/>
      <c r="U19" s="22"/>
      <c r="V19" s="22"/>
      <c r="W19" s="22"/>
      <c r="X19" s="23"/>
      <c r="Y19" s="22"/>
      <c r="Z19" s="22"/>
      <c r="AA19" s="21"/>
      <c r="AB19" s="22"/>
      <c r="AC19" s="22"/>
      <c r="AD19" s="22"/>
      <c r="AE19" s="23"/>
      <c r="AF19" s="22"/>
      <c r="AG19" s="22"/>
      <c r="AH19" s="21"/>
      <c r="AI19" s="22"/>
      <c r="AJ19" s="22"/>
      <c r="AK19" s="22"/>
      <c r="AL19" s="23"/>
      <c r="AM19" s="22"/>
      <c r="AN19" s="22"/>
      <c r="AO19" s="21"/>
      <c r="AP19" s="22"/>
      <c r="AQ19" s="22"/>
      <c r="AR19" s="22"/>
      <c r="AS19" s="23"/>
      <c r="AT19" s="22"/>
      <c r="AU19" s="23"/>
    </row>
    <row r="20" spans="11:47" ht="19.5" customHeight="1">
      <c r="M20" s="21"/>
      <c r="N20" s="43"/>
      <c r="O20" s="22"/>
      <c r="P20" s="22"/>
      <c r="Q20" s="22"/>
      <c r="R20" s="30"/>
      <c r="S20" s="22"/>
      <c r="T20" s="21"/>
      <c r="U20" s="22"/>
      <c r="V20" s="22"/>
      <c r="W20" s="22"/>
      <c r="X20" s="23"/>
      <c r="Y20" s="22"/>
      <c r="Z20" s="22"/>
      <c r="AA20" s="21"/>
      <c r="AB20" s="22"/>
      <c r="AC20" s="22"/>
      <c r="AD20" s="22"/>
      <c r="AE20" s="23"/>
      <c r="AF20" s="22"/>
      <c r="AG20" s="22"/>
      <c r="AH20" s="21"/>
      <c r="AI20" s="22"/>
      <c r="AJ20" s="22"/>
      <c r="AK20" s="22"/>
      <c r="AL20" s="23"/>
      <c r="AM20" s="22"/>
      <c r="AN20" s="22"/>
      <c r="AO20" s="21"/>
      <c r="AP20" s="22"/>
      <c r="AQ20" s="22"/>
      <c r="AR20" s="22"/>
      <c r="AS20" s="23"/>
      <c r="AT20" s="22"/>
      <c r="AU20" s="23"/>
    </row>
    <row r="21" spans="11:47" ht="19.5" customHeight="1">
      <c r="M21" s="21"/>
      <c r="N21" s="43"/>
      <c r="O21" s="22"/>
      <c r="P21" s="22"/>
      <c r="Q21" s="22"/>
      <c r="R21" s="30"/>
      <c r="S21" s="22"/>
      <c r="T21" s="21"/>
      <c r="U21" s="22"/>
      <c r="V21" s="22"/>
      <c r="W21" s="22"/>
      <c r="X21" s="23"/>
      <c r="Y21" s="22"/>
      <c r="Z21" s="22"/>
      <c r="AA21" s="21"/>
      <c r="AB21" s="22"/>
      <c r="AC21" s="22"/>
      <c r="AD21" s="22"/>
      <c r="AE21" s="23"/>
      <c r="AF21" s="22"/>
      <c r="AG21" s="22"/>
      <c r="AH21" s="21"/>
      <c r="AI21" s="22"/>
      <c r="AJ21" s="22"/>
      <c r="AK21" s="22"/>
      <c r="AL21" s="23"/>
      <c r="AM21" s="22"/>
      <c r="AN21" s="22"/>
      <c r="AO21" s="21"/>
      <c r="AP21" s="22"/>
      <c r="AQ21" s="22"/>
      <c r="AR21" s="22"/>
      <c r="AS21" s="23"/>
      <c r="AT21" s="22"/>
      <c r="AU21" s="23"/>
    </row>
    <row r="22" spans="11:47" ht="19.5" customHeight="1" thickBot="1">
      <c r="M22" s="34"/>
      <c r="N22" s="45"/>
      <c r="O22" s="27"/>
      <c r="P22" s="27"/>
      <c r="Q22" s="27"/>
      <c r="R22" s="29"/>
      <c r="S22" s="22"/>
      <c r="T22" s="24"/>
      <c r="U22" s="25"/>
      <c r="V22" s="25"/>
      <c r="W22" s="25"/>
      <c r="X22" s="26"/>
      <c r="Y22" s="22"/>
      <c r="Z22" s="22"/>
      <c r="AA22" s="24"/>
      <c r="AB22" s="25"/>
      <c r="AC22" s="25">
        <v>92</v>
      </c>
      <c r="AD22" s="25"/>
      <c r="AE22" s="26"/>
      <c r="AF22" s="22"/>
      <c r="AG22" s="22"/>
      <c r="AH22" s="24"/>
      <c r="AI22" s="25"/>
      <c r="AJ22" s="25"/>
      <c r="AK22" s="25"/>
      <c r="AL22" s="26"/>
      <c r="AM22" s="22"/>
      <c r="AN22" s="22"/>
      <c r="AO22" s="24"/>
      <c r="AP22" s="25"/>
      <c r="AQ22" s="25"/>
      <c r="AR22" s="25"/>
      <c r="AS22" s="26"/>
      <c r="AT22" s="22"/>
      <c r="AU22" s="23"/>
    </row>
    <row r="23" spans="11:47" ht="19.5" customHeight="1">
      <c r="M23" s="33"/>
      <c r="N23" s="44"/>
      <c r="O23" s="28"/>
      <c r="P23" s="28"/>
      <c r="Q23" s="28"/>
      <c r="R23" s="3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</row>
    <row r="24" spans="11:47" ht="19.5" customHeight="1">
      <c r="M24" s="21"/>
      <c r="N24" s="43"/>
      <c r="O24" s="22"/>
      <c r="P24" s="22"/>
      <c r="Q24" s="22"/>
      <c r="R24" s="3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</row>
    <row r="25" spans="11:47" ht="19.5" customHeight="1">
      <c r="M25" s="21"/>
      <c r="N25" s="43"/>
      <c r="O25" s="22"/>
      <c r="P25" s="22"/>
      <c r="Q25" s="22"/>
      <c r="R25" s="3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</row>
    <row r="26" spans="11:47" ht="19.5" customHeight="1">
      <c r="M26" s="34"/>
      <c r="N26" s="45"/>
      <c r="O26" s="27"/>
      <c r="P26" s="27"/>
      <c r="Q26" s="27"/>
      <c r="R26" s="2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</row>
    <row r="27" spans="11:47" ht="19.5" customHeight="1">
      <c r="M27" s="52"/>
      <c r="N27" s="53"/>
      <c r="O27" s="46"/>
      <c r="P27" s="47"/>
      <c r="Q27" s="47"/>
      <c r="R27" s="48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</row>
    <row r="28" spans="11:47" ht="19.5" customHeight="1">
      <c r="M28" s="54"/>
      <c r="N28" s="55"/>
      <c r="O28" s="49"/>
      <c r="P28" s="50"/>
      <c r="Q28" s="50"/>
      <c r="R28" s="51"/>
      <c r="S28" s="39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</row>
    <row r="29" spans="11:47" ht="19.5" customHeight="1" thickBot="1">
      <c r="M29" s="24"/>
      <c r="N29" s="25"/>
      <c r="O29" s="25"/>
      <c r="P29" s="25"/>
      <c r="Q29" s="25"/>
      <c r="R29" s="3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6"/>
    </row>
    <row r="31" spans="11:47" ht="19.5" customHeight="1">
      <c r="V31">
        <v>18</v>
      </c>
      <c r="Y31" s="56" t="s">
        <v>21</v>
      </c>
      <c r="AB31" s="57" t="s">
        <v>22</v>
      </c>
      <c r="AH31" s="56" t="s">
        <v>25</v>
      </c>
      <c r="AM31" s="57" t="s">
        <v>26</v>
      </c>
    </row>
    <row r="32" spans="11:47" ht="19.5" customHeight="1">
      <c r="AB32" s="57" t="s">
        <v>23</v>
      </c>
      <c r="AC32" s="28">
        <f>7.8*3</f>
        <v>23.4</v>
      </c>
      <c r="AD32" s="62" t="s">
        <v>24</v>
      </c>
      <c r="AM32" s="57" t="s">
        <v>23</v>
      </c>
      <c r="AN32" s="28">
        <f>4*((2*0.18*0.92)+(2*0.18*1.7))</f>
        <v>3.7728000000000002</v>
      </c>
      <c r="AO32" s="62" t="s">
        <v>24</v>
      </c>
    </row>
    <row r="34" spans="13:41" ht="19.5" customHeight="1">
      <c r="AH34" s="56" t="s">
        <v>27</v>
      </c>
      <c r="AM34" s="57" t="s">
        <v>30</v>
      </c>
    </row>
    <row r="35" spans="13:41" ht="19.5" customHeight="1">
      <c r="Y35" s="58" t="s">
        <v>29</v>
      </c>
      <c r="Z35" s="58"/>
      <c r="AA35" s="58"/>
      <c r="AB35" s="59" t="s">
        <v>23</v>
      </c>
      <c r="AC35" s="61">
        <f>+AC32+AN32+AN35</f>
        <v>37.972799999999999</v>
      </c>
      <c r="AD35" s="62" t="s">
        <v>24</v>
      </c>
      <c r="AH35" s="56" t="s">
        <v>28</v>
      </c>
      <c r="AM35" s="57" t="s">
        <v>23</v>
      </c>
      <c r="AN35" s="28">
        <f>+(2*0.5*3)+(2*0.5*7.8)</f>
        <v>10.8</v>
      </c>
      <c r="AO35" s="62" t="s">
        <v>24</v>
      </c>
    </row>
    <row r="37" spans="13:41" ht="19.5" customHeight="1">
      <c r="M37" s="56" t="s">
        <v>34</v>
      </c>
    </row>
    <row r="38" spans="13:41" ht="19.5" customHeight="1">
      <c r="M38" s="56" t="s">
        <v>35</v>
      </c>
      <c r="Q38" s="57" t="s">
        <v>23</v>
      </c>
      <c r="R38" s="56" t="s">
        <v>36</v>
      </c>
    </row>
    <row r="39" spans="13:41" ht="19.5" customHeight="1">
      <c r="Q39" s="57" t="s">
        <v>23</v>
      </c>
      <c r="R39">
        <f>(AC35*3)/6</f>
        <v>18.9864</v>
      </c>
      <c r="S39" s="56" t="s">
        <v>33</v>
      </c>
      <c r="T39" s="56" t="s">
        <v>37</v>
      </c>
      <c r="X39" s="56" t="s">
        <v>38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5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2020-08-24T05:39:50Z</cp:lastPrinted>
  <dcterms:created xsi:type="dcterms:W3CDTF">2012-03-21T04:38:16Z</dcterms:created>
  <dcterms:modified xsi:type="dcterms:W3CDTF">2021-06-03T00:15:11Z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