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59E29764-9F2B-413A-985E-473150A3A6F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RAB" sheetId="1" r:id="rId1"/>
    <sheet name="Sheet1" sheetId="2" r:id="rId2"/>
  </sheets>
  <definedNames>
    <definedName name="_xlnm.Print_Area" localSheetId="0">RAB!$A$1:$G$69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F51" i="1"/>
  <c r="F52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G32" i="1"/>
  <c r="F32" i="1"/>
  <c r="C32" i="1"/>
  <c r="A30" i="1"/>
  <c r="A31" i="1"/>
  <c r="A32" i="1" s="1"/>
  <c r="A29" i="1"/>
  <c r="F31" i="1"/>
  <c r="F30" i="1"/>
  <c r="F29" i="1"/>
  <c r="F28" i="1"/>
  <c r="F25" i="1"/>
  <c r="F22" i="1"/>
  <c r="F15" i="1"/>
  <c r="F14" i="1"/>
  <c r="F13" i="1"/>
  <c r="F12" i="1"/>
  <c r="F11" i="1"/>
  <c r="F10" i="1"/>
  <c r="F9" i="1"/>
  <c r="F8" i="1"/>
  <c r="F7" i="1"/>
  <c r="P59" i="1"/>
  <c r="Q59" i="1" s="1"/>
  <c r="R59" i="1" s="1"/>
  <c r="S59" i="1" s="1"/>
  <c r="T59" i="1" s="1"/>
  <c r="U59" i="1" s="1"/>
  <c r="V59" i="1" s="1"/>
  <c r="W59" i="1" s="1"/>
  <c r="X59" i="1" s="1"/>
  <c r="C31" i="1" l="1"/>
  <c r="C30" i="1"/>
  <c r="C28" i="1"/>
  <c r="C39" i="1"/>
  <c r="G46" i="1"/>
  <c r="C36" i="1"/>
  <c r="C37" i="1"/>
  <c r="G8" i="1"/>
  <c r="G22" i="1" l="1"/>
  <c r="G20" i="1"/>
  <c r="G10" i="1"/>
  <c r="G11" i="1"/>
  <c r="G12" i="1"/>
  <c r="G13" i="1"/>
  <c r="G14" i="1"/>
  <c r="G15" i="1"/>
  <c r="G16" i="1"/>
  <c r="G17" i="1"/>
  <c r="G18" i="1"/>
  <c r="G19" i="1"/>
  <c r="G21" i="1"/>
  <c r="C45" i="1" l="1"/>
  <c r="G45" i="1" s="1"/>
  <c r="C44" i="1"/>
  <c r="G44" i="1" s="1"/>
  <c r="C43" i="1"/>
  <c r="G51" i="1"/>
  <c r="C42" i="1"/>
  <c r="G9" i="1" l="1"/>
  <c r="G52" i="1"/>
  <c r="C50" i="1"/>
  <c r="G50" i="1" s="1"/>
  <c r="G43" i="1"/>
  <c r="G42" i="1"/>
  <c r="G49" i="1"/>
  <c r="G48" i="1"/>
  <c r="G47" i="1"/>
  <c r="C40" i="1"/>
  <c r="G40" i="1" s="1"/>
  <c r="C41" i="1"/>
  <c r="G41" i="1" s="1"/>
  <c r="G38" i="1"/>
  <c r="G39" i="1"/>
  <c r="G37" i="1"/>
  <c r="G30" i="1"/>
  <c r="G31" i="1"/>
  <c r="C29" i="1" l="1"/>
  <c r="G29" i="1" s="1"/>
  <c r="G28" i="1"/>
  <c r="G33" i="1" s="1"/>
  <c r="G7" i="1" l="1"/>
  <c r="G25" i="1"/>
  <c r="G36" i="1"/>
  <c r="G53" i="1" s="1"/>
  <c r="G23" i="1" l="1"/>
  <c r="G26" i="1"/>
  <c r="G55" i="1" l="1"/>
  <c r="G56" i="1" l="1"/>
  <c r="G57" i="1" s="1"/>
  <c r="G58" i="1" s="1"/>
  <c r="G59" i="1" s="1"/>
  <c r="N59" i="1" s="1"/>
  <c r="W60" i="1" l="1"/>
  <c r="U60" i="1"/>
  <c r="S60" i="1"/>
  <c r="R60" i="1"/>
  <c r="T60" i="1"/>
  <c r="P60" i="1"/>
  <c r="P61" i="1" s="1"/>
  <c r="P62" i="1" s="1"/>
  <c r="V60" i="1"/>
  <c r="X60" i="1"/>
  <c r="X61" i="1" s="1"/>
  <c r="X62" i="1" s="1"/>
  <c r="Q60" i="1"/>
  <c r="V61" i="1" l="1"/>
  <c r="V62" i="1" s="1"/>
  <c r="T61" i="1"/>
  <c r="T62" i="1" s="1"/>
  <c r="R61" i="1"/>
  <c r="R62" i="1" s="1"/>
  <c r="X63" i="1"/>
  <c r="X64" i="1"/>
  <c r="V64" i="1"/>
  <c r="R64" i="1"/>
  <c r="R63" i="1"/>
  <c r="S61" i="1"/>
  <c r="S62" i="1" s="1"/>
  <c r="U61" i="1"/>
  <c r="U62" i="1" s="1"/>
  <c r="Q61" i="1"/>
  <c r="Q62" i="1" s="1"/>
  <c r="P63" i="1" s="1"/>
  <c r="P65" i="1" s="1"/>
  <c r="W61" i="1"/>
  <c r="W62" i="1" s="1"/>
  <c r="T63" i="1" l="1"/>
  <c r="R65" i="1"/>
  <c r="W64" i="1"/>
  <c r="W63" i="1"/>
  <c r="U64" i="1"/>
  <c r="U63" i="1"/>
  <c r="X65" i="1"/>
  <c r="V63" i="1"/>
  <c r="V65" i="1" s="1"/>
  <c r="Q64" i="1"/>
  <c r="Q63" i="1"/>
  <c r="T64" i="1"/>
  <c r="T65" i="1" s="1"/>
  <c r="S63" i="1"/>
  <c r="S64" i="1"/>
  <c r="Q65" i="1" l="1"/>
  <c r="U65" i="1"/>
  <c r="S65" i="1"/>
  <c r="W65" i="1"/>
  <c r="N67" i="1" l="1"/>
</calcChain>
</file>

<file path=xl/sharedStrings.xml><?xml version="1.0" encoding="utf-8"?>
<sst xmlns="http://schemas.openxmlformats.org/spreadsheetml/2006/main" count="148" uniqueCount="89">
  <si>
    <t>NO</t>
  </si>
  <si>
    <t>NAMA BAHAN</t>
  </si>
  <si>
    <t>VOL</t>
  </si>
  <si>
    <t xml:space="preserve">SATUAN </t>
  </si>
  <si>
    <t>ANALISA</t>
  </si>
  <si>
    <t xml:space="preserve">HARGA </t>
  </si>
  <si>
    <t xml:space="preserve">JUMLAH </t>
  </si>
  <si>
    <t>SATUAN</t>
  </si>
  <si>
    <t>HARGA</t>
  </si>
  <si>
    <t>I</t>
  </si>
  <si>
    <t>MATERIAL</t>
  </si>
  <si>
    <t>Meter</t>
  </si>
  <si>
    <t>Tabel</t>
  </si>
  <si>
    <t>Jumlah</t>
  </si>
  <si>
    <t>II</t>
  </si>
  <si>
    <t>Buah</t>
  </si>
  <si>
    <t>III</t>
  </si>
  <si>
    <t>Ls</t>
  </si>
  <si>
    <t>IV</t>
  </si>
  <si>
    <t>Hitung</t>
  </si>
  <si>
    <t>lembar</t>
  </si>
  <si>
    <t>kg</t>
  </si>
  <si>
    <t>buah</t>
  </si>
  <si>
    <t>PEKERJAAN PERSIAPAN</t>
  </si>
  <si>
    <t>Pembersihan lokasi</t>
  </si>
  <si>
    <t>PEKERJAAN PONDASI</t>
  </si>
  <si>
    <t>Galian tanah keras</t>
  </si>
  <si>
    <t>Pembesian Pondasi</t>
  </si>
  <si>
    <t>PT 6.4</t>
  </si>
  <si>
    <t>PB 6.12</t>
  </si>
  <si>
    <t>Bekisting Pondasi</t>
  </si>
  <si>
    <t>Meter2</t>
  </si>
  <si>
    <t>Unit</t>
  </si>
  <si>
    <t>PB 6.3.A.1</t>
  </si>
  <si>
    <t>PB 6.15</t>
  </si>
  <si>
    <t>Pemotongan plat t= 6 mm</t>
  </si>
  <si>
    <t>Rol plat dia. 2,2 m</t>
  </si>
  <si>
    <t>Rol</t>
  </si>
  <si>
    <t>Pengelasan plat dinding tangki</t>
  </si>
  <si>
    <t>Meter'</t>
  </si>
  <si>
    <t>Pengelasan plat tutup atas dan bawah 2x las</t>
  </si>
  <si>
    <t>Pembuatan Engsel Tutup Manhole</t>
  </si>
  <si>
    <t>Pengelasan Blind Flange dan Pipa</t>
  </si>
  <si>
    <t>Pengecatan Tangki</t>
  </si>
  <si>
    <t>Pembuatan Handle Lifting Lug</t>
  </si>
  <si>
    <t>PEKERJAAN PEMBUATAN TANGKI DAN PEMASANGAN</t>
  </si>
  <si>
    <t>Transport Material dan Peralatan</t>
  </si>
  <si>
    <t>Grand Total</t>
  </si>
  <si>
    <t>Dibulatkan</t>
  </si>
  <si>
    <t>JUMLAH I + II + III + IV</t>
  </si>
  <si>
    <t>Dynabolt m20  x 100 mm</t>
  </si>
  <si>
    <t>Pipa steel dia. 3/4" GIP</t>
  </si>
  <si>
    <t>Ball Valve 3/4" Onda</t>
  </si>
  <si>
    <t>Screwed Gate Valve 3/4" Onda</t>
  </si>
  <si>
    <t>Elbow GIP dia. 3/4"</t>
  </si>
  <si>
    <t>Double Nipple GIP 3/4"</t>
  </si>
  <si>
    <t>Socket Drat Selang Kuningan 3/4"x1/2"</t>
  </si>
  <si>
    <t>Socket GIP 3/4"</t>
  </si>
  <si>
    <t>Pemasangan Kran Outlet dia. 3/4"</t>
  </si>
  <si>
    <t>Pemotongan pipa dia. 3/4" tangga</t>
  </si>
  <si>
    <t>Pengelasan pipa dia. 3/4" tangga</t>
  </si>
  <si>
    <t>Pengelasan pipa dia. 3/4" jalur minyak solar</t>
  </si>
  <si>
    <t>Pengelasan pipa dia. 3/4" level Minyak</t>
  </si>
  <si>
    <t>Pemasangan pipa 3/4" GIP jalur minyak solar</t>
  </si>
  <si>
    <t>meter'</t>
  </si>
  <si>
    <t>Elbow GIP dia. 1 1/2"</t>
  </si>
  <si>
    <t>Double Nipple GIP 1 1/2"</t>
  </si>
  <si>
    <t>Socket Drat GIP dia. 1/2"</t>
  </si>
  <si>
    <t>Dop GIP 1 1/2"</t>
  </si>
  <si>
    <t>Socket Drat luar GIP 1 1/2"</t>
  </si>
  <si>
    <t>Seal tape</t>
  </si>
  <si>
    <t>tempat</t>
  </si>
  <si>
    <t>Pemotongan Plat Manhole</t>
  </si>
  <si>
    <t>Plat steel t= 6 mm 1,8x6 m</t>
  </si>
  <si>
    <t>Plat steel t= 6 mm 1,2x2,4 m</t>
  </si>
  <si>
    <t>Rupiah</t>
  </si>
  <si>
    <t>Terbilang :</t>
  </si>
  <si>
    <t>LOKASI BOOSTER PUMP SIMALINGKAR</t>
  </si>
  <si>
    <t xml:space="preserve">RAB PEMBUATAN TANGKI UTAMA SOLAR </t>
  </si>
  <si>
    <t>Cor beton 1:2:3 Tapak Pondasi Tangki</t>
  </si>
  <si>
    <t>Cor beton 1:2:3 Pinggiran Tapak Pondasi</t>
  </si>
  <si>
    <t>M3</t>
  </si>
  <si>
    <t>M2</t>
  </si>
  <si>
    <t>PC 6.11A</t>
  </si>
  <si>
    <t>Sewa Crane @ 2Hari</t>
  </si>
  <si>
    <t>Jam</t>
  </si>
  <si>
    <t>DPP 11/12</t>
  </si>
  <si>
    <t>PPn 12%</t>
  </si>
  <si>
    <t>Seratus lima juta sembilan ratus lima puluh dua ribu tujuh ratus sembilan belas rupiah,-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</si>
</sst>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#,##0.00;[Red]#,##0.00"/>
    <numFmt numFmtId="165" formatCode="_-* #,##0.00_-;\-* #,##0.00_-;_-* &quot;-&quot;_-;_-@_-"/>
    <numFmt numFmtId="166" formatCode="_(* #,##0_);_(* \(#,##0\);_(* &quot;-&quot;_);_(@_)"/>
    <numFmt numFmtId="167" formatCode="_(* #,##0.0_);_(* \(#,##0.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0" fontId="2" fillId="0" borderId="0"/>
    <xf numFmtId="164" fontId="9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3" xfId="0" applyFont="1" applyBorder="1"/>
    <xf numFmtId="165" fontId="5" fillId="0" borderId="0" xfId="1" applyNumberFormat="1" applyFont="1"/>
    <xf numFmtId="165" fontId="0" fillId="0" borderId="0" xfId="1" applyNumberFormat="1" applyFont="1"/>
    <xf numFmtId="0" fontId="4" fillId="0" borderId="5" xfId="0" applyFont="1" applyBorder="1"/>
    <xf numFmtId="0" fontId="5" fillId="0" borderId="5" xfId="0" applyFont="1" applyBorder="1"/>
    <xf numFmtId="165" fontId="5" fillId="0" borderId="5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165" fontId="5" fillId="0" borderId="6" xfId="1" applyNumberFormat="1" applyFont="1" applyBorder="1"/>
    <xf numFmtId="0" fontId="4" fillId="0" borderId="6" xfId="0" applyFont="1" applyBorder="1"/>
    <xf numFmtId="0" fontId="5" fillId="0" borderId="7" xfId="0" applyFont="1" applyBorder="1"/>
    <xf numFmtId="165" fontId="5" fillId="0" borderId="7" xfId="1" applyNumberFormat="1" applyFont="1" applyBorder="1"/>
    <xf numFmtId="164" fontId="3" fillId="0" borderId="6" xfId="2" applyNumberFormat="1" applyFont="1" applyBorder="1" applyAlignment="1">
      <alignment vertical="center"/>
    </xf>
    <xf numFmtId="165" fontId="5" fillId="0" borderId="6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0" fillId="0" borderId="0" xfId="0" applyNumberFormat="1"/>
    <xf numFmtId="165" fontId="4" fillId="0" borderId="1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vertical="center"/>
    </xf>
    <xf numFmtId="165" fontId="4" fillId="0" borderId="6" xfId="1" applyNumberFormat="1" applyFont="1" applyBorder="1"/>
    <xf numFmtId="165" fontId="4" fillId="0" borderId="7" xfId="1" applyNumberFormat="1" applyFont="1" applyBorder="1"/>
    <xf numFmtId="165" fontId="6" fillId="0" borderId="0" xfId="1" applyNumberFormat="1" applyFont="1"/>
    <xf numFmtId="165" fontId="6" fillId="0" borderId="5" xfId="1" applyNumberFormat="1" applyFont="1" applyBorder="1"/>
    <xf numFmtId="165" fontId="6" fillId="0" borderId="6" xfId="1" applyNumberFormat="1" applyFont="1" applyBorder="1"/>
    <xf numFmtId="165" fontId="6" fillId="0" borderId="4" xfId="1" applyNumberFormat="1" applyFont="1" applyBorder="1"/>
    <xf numFmtId="165" fontId="7" fillId="0" borderId="0" xfId="1" applyNumberFormat="1" applyFont="1"/>
    <xf numFmtId="9" fontId="0" fillId="0" borderId="0" xfId="0" applyNumberForma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6" fontId="7" fillId="2" borderId="0" xfId="3" applyNumberFormat="1" applyFont="1" applyFill="1"/>
    <xf numFmtId="0" fontId="1" fillId="2" borderId="0" xfId="2" applyFont="1" applyFill="1"/>
    <xf numFmtId="0" fontId="7" fillId="2" borderId="0" xfId="2" applyFont="1" applyFill="1"/>
    <xf numFmtId="166" fontId="1" fillId="2" borderId="0" xfId="2" applyNumberFormat="1" applyFont="1" applyFill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165" fontId="0" fillId="0" borderId="0" xfId="1" applyNumberFormat="1" applyFont="1" applyBorder="1"/>
    <xf numFmtId="165" fontId="4" fillId="0" borderId="16" xfId="1" applyNumberFormat="1" applyFont="1" applyBorder="1"/>
    <xf numFmtId="0" fontId="10" fillId="0" borderId="0" xfId="2" applyFont="1" applyAlignment="1">
      <alignment vertical="center"/>
    </xf>
    <xf numFmtId="0" fontId="11" fillId="0" borderId="0" xfId="4" applyFont="1" applyAlignment="1">
      <alignment horizontal="left"/>
    </xf>
    <xf numFmtId="167" fontId="10" fillId="0" borderId="0" xfId="2" applyNumberFormat="1" applyFont="1" applyAlignment="1">
      <alignment vertical="center"/>
    </xf>
    <xf numFmtId="17" fontId="10" fillId="0" borderId="0" xfId="2" applyNumberFormat="1" applyFont="1" applyAlignment="1">
      <alignment vertical="center"/>
    </xf>
    <xf numFmtId="0" fontId="10" fillId="0" borderId="0" xfId="4" applyFont="1"/>
    <xf numFmtId="0" fontId="12" fillId="0" borderId="0" xfId="4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 applyBorder="1" applyAlignment="1">
      <alignment vertical="top" wrapText="1"/>
    </xf>
  </cellXfs>
  <cellStyles count="5">
    <cellStyle name="Comma [0]" xfId="1" builtinId="6"/>
    <cellStyle name="Comma [0] 2" xfId="3" xr:uid="{00000000-0005-0000-0000-000001000000}"/>
    <cellStyle name="Normal" xfId="0" builtinId="0"/>
    <cellStyle name="Normal 2" xfId="2" xr:uid="{00000000-0005-0000-0000-000003000000}"/>
    <cellStyle name="Normal_Sheet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61</xdr:row>
      <xdr:rowOff>9525</xdr:rowOff>
    </xdr:from>
    <xdr:to>
      <xdr:col>7</xdr:col>
      <xdr:colOff>0</xdr:colOff>
      <xdr:row>69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242810" y="4749165"/>
          <a:ext cx="2251710" cy="1718310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Medan,      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 Juni 2025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Dihitung Oleh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Julfan Fadhli</a:t>
          </a:r>
          <a:r>
            <a:rPr lang="en-US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Siregar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Kabid. O</a:t>
          </a: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perasional</a:t>
          </a:r>
          <a:r>
            <a:rPr lang="en-US" sz="1100" b="0" i="0" strike="noStrike" baseline="0">
              <a:solidFill>
                <a:srgbClr val="000000"/>
              </a:solidFill>
              <a:latin typeface="Arial"/>
              <a:cs typeface="Arial"/>
            </a:rPr>
            <a:t> P</a:t>
          </a:r>
          <a:r>
            <a:rPr lang="id-ID" sz="1100" b="0" i="0" strike="noStrike" baseline="0">
              <a:solidFill>
                <a:srgbClr val="000000"/>
              </a:solidFill>
              <a:latin typeface="Arial"/>
              <a:cs typeface="Arial"/>
            </a:rPr>
            <a:t>ompa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2514600</xdr:colOff>
      <xdr:row>61</xdr:row>
      <xdr:rowOff>9526</xdr:rowOff>
    </xdr:from>
    <xdr:to>
      <xdr:col>4</xdr:col>
      <xdr:colOff>0</xdr:colOff>
      <xdr:row>69</xdr:row>
      <xdr:rowOff>130970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543300" y="4749166"/>
          <a:ext cx="2750820" cy="1706404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Diketahui Oleh,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Dedi Gusman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 Kadiv. Transmisi Distribusi</a:t>
          </a:r>
        </a:p>
      </xdr:txBody>
    </xdr:sp>
    <xdr:clientData/>
  </xdr:twoCellAnchor>
  <xdr:twoCellAnchor>
    <xdr:from>
      <xdr:col>0</xdr:col>
      <xdr:colOff>581025</xdr:colOff>
      <xdr:row>61</xdr:row>
      <xdr:rowOff>9525</xdr:rowOff>
    </xdr:from>
    <xdr:to>
      <xdr:col>1</xdr:col>
      <xdr:colOff>2171700</xdr:colOff>
      <xdr:row>69</xdr:row>
      <xdr:rowOff>83344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81025" y="4749165"/>
          <a:ext cx="2619375" cy="1658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Disahkan Oleh,</a:t>
          </a: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1" i="0" u="sng" strike="noStrike">
              <a:solidFill>
                <a:srgbClr val="000000"/>
              </a:solidFill>
              <a:latin typeface="Arial"/>
              <a:cs typeface="Arial"/>
            </a:rPr>
            <a:t>Ali Ismail Siregar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Kadiv. Perencanaan</a:t>
          </a:r>
          <a:r>
            <a:rPr lang="id-ID" sz="1100" b="0" i="0" strike="noStrike">
              <a:solidFill>
                <a:srgbClr val="000000"/>
              </a:solidFill>
              <a:latin typeface="Arial"/>
              <a:cs typeface="Arial"/>
            </a:rPr>
            <a:t> Air</a:t>
          </a:r>
          <a:r>
            <a:rPr lang="id-ID" sz="1100" b="0" i="0" strike="noStrike" baseline="0">
              <a:solidFill>
                <a:srgbClr val="000000"/>
              </a:solidFill>
              <a:latin typeface="Arial"/>
              <a:cs typeface="Arial"/>
            </a:rPr>
            <a:t> Minum</a:t>
          </a: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0"/>
  <sheetViews>
    <sheetView tabSelected="1" zoomScale="90" zoomScaleNormal="90" workbookViewId="0">
      <selection activeCell="A58" sqref="A58"/>
    </sheetView>
  </sheetViews>
  <sheetFormatPr defaultRowHeight="15.75" x14ac:dyDescent="0.5"/>
  <cols>
    <col min="1" max="1" width="6.33203125" customWidth="1"/>
    <col min="2" max="2" width="43.59765625" customWidth="1"/>
    <col min="3" max="3" width="9.46484375" style="6" customWidth="1"/>
    <col min="4" max="4" width="10.33203125" customWidth="1"/>
    <col min="5" max="5" width="11.06640625" customWidth="1"/>
    <col min="6" max="6" width="16.53125" customWidth="1"/>
    <col min="7" max="7" width="19.06640625" style="26" customWidth="1"/>
    <col min="9" max="9" width="19" style="6" customWidth="1"/>
    <col min="14" max="14" width="12.46484375" bestFit="1" customWidth="1"/>
  </cols>
  <sheetData>
    <row r="1" spans="1:11" x14ac:dyDescent="0.5">
      <c r="A1" s="61" t="s">
        <v>78</v>
      </c>
      <c r="B1" s="61"/>
      <c r="C1" s="61"/>
      <c r="D1" s="61"/>
      <c r="E1" s="61"/>
      <c r="F1" s="61"/>
      <c r="G1" s="61"/>
    </row>
    <row r="2" spans="1:11" x14ac:dyDescent="0.5">
      <c r="A2" s="61" t="s">
        <v>77</v>
      </c>
      <c r="B2" s="61"/>
      <c r="C2" s="61"/>
      <c r="D2" s="61"/>
      <c r="E2" s="61"/>
      <c r="F2" s="61"/>
      <c r="G2" s="61"/>
    </row>
    <row r="3" spans="1:11" ht="16.149999999999999" thickBot="1" x14ac:dyDescent="0.55000000000000004">
      <c r="A3" s="3"/>
      <c r="B3" s="1"/>
      <c r="C3" s="5"/>
      <c r="D3" s="2"/>
      <c r="E3" s="2"/>
      <c r="F3" s="2"/>
    </row>
    <row r="4" spans="1:11" x14ac:dyDescent="0.5">
      <c r="A4" s="62" t="s">
        <v>0</v>
      </c>
      <c r="B4" s="62" t="s">
        <v>1</v>
      </c>
      <c r="C4" s="64" t="s">
        <v>2</v>
      </c>
      <c r="D4" s="62" t="s">
        <v>3</v>
      </c>
      <c r="E4" s="62" t="s">
        <v>4</v>
      </c>
      <c r="F4" s="18" t="s">
        <v>5</v>
      </c>
      <c r="G4" s="21" t="s">
        <v>6</v>
      </c>
    </row>
    <row r="5" spans="1:11" ht="16.149999999999999" thickBot="1" x14ac:dyDescent="0.55000000000000004">
      <c r="A5" s="63"/>
      <c r="B5" s="63"/>
      <c r="C5" s="65"/>
      <c r="D5" s="63"/>
      <c r="E5" s="63"/>
      <c r="F5" s="19" t="s">
        <v>7</v>
      </c>
      <c r="G5" s="22" t="s">
        <v>8</v>
      </c>
    </row>
    <row r="6" spans="1:11" x14ac:dyDescent="0.5">
      <c r="A6" s="32" t="s">
        <v>9</v>
      </c>
      <c r="B6" s="7" t="s">
        <v>10</v>
      </c>
      <c r="C6" s="9"/>
      <c r="D6" s="8"/>
      <c r="E6" s="8"/>
      <c r="F6" s="8"/>
      <c r="G6" s="27"/>
    </row>
    <row r="7" spans="1:11" x14ac:dyDescent="0.5">
      <c r="A7" s="11">
        <v>1</v>
      </c>
      <c r="B7" s="10" t="s">
        <v>73</v>
      </c>
      <c r="C7" s="17">
        <v>2</v>
      </c>
      <c r="D7" s="11" t="s">
        <v>20</v>
      </c>
      <c r="E7" s="11" t="s">
        <v>19</v>
      </c>
      <c r="F7" s="16">
        <f>525*25500</f>
        <v>13387500</v>
      </c>
      <c r="G7" s="23">
        <f t="shared" ref="G7:G8" si="0">C7*F7</f>
        <v>26775000</v>
      </c>
    </row>
    <row r="8" spans="1:11" x14ac:dyDescent="0.5">
      <c r="A8" s="11">
        <v>2</v>
      </c>
      <c r="B8" s="10" t="s">
        <v>74</v>
      </c>
      <c r="C8" s="17">
        <v>2</v>
      </c>
      <c r="D8" s="11" t="s">
        <v>20</v>
      </c>
      <c r="E8" s="11" t="s">
        <v>19</v>
      </c>
      <c r="F8" s="16">
        <f>140*25500</f>
        <v>3570000</v>
      </c>
      <c r="G8" s="23">
        <f t="shared" si="0"/>
        <v>7140000</v>
      </c>
    </row>
    <row r="9" spans="1:11" x14ac:dyDescent="0.5">
      <c r="A9" s="11">
        <v>3</v>
      </c>
      <c r="B9" s="10" t="s">
        <v>52</v>
      </c>
      <c r="C9" s="17">
        <v>1</v>
      </c>
      <c r="D9" s="11" t="s">
        <v>22</v>
      </c>
      <c r="E9" s="11" t="s">
        <v>19</v>
      </c>
      <c r="F9" s="16">
        <f>200000*1.13</f>
        <v>225999.99999999997</v>
      </c>
      <c r="G9" s="23">
        <f t="shared" ref="G9:G21" si="1">C9*F9</f>
        <v>225999.99999999997</v>
      </c>
      <c r="K9" s="20"/>
    </row>
    <row r="10" spans="1:11" x14ac:dyDescent="0.5">
      <c r="A10" s="11">
        <v>4</v>
      </c>
      <c r="B10" s="10" t="s">
        <v>53</v>
      </c>
      <c r="C10" s="17">
        <v>1</v>
      </c>
      <c r="D10" s="11" t="s">
        <v>22</v>
      </c>
      <c r="E10" s="11" t="s">
        <v>19</v>
      </c>
      <c r="F10" s="16">
        <f>158000</f>
        <v>158000</v>
      </c>
      <c r="G10" s="23">
        <f t="shared" si="1"/>
        <v>158000</v>
      </c>
    </row>
    <row r="11" spans="1:11" x14ac:dyDescent="0.5">
      <c r="A11" s="11">
        <v>5</v>
      </c>
      <c r="B11" s="10" t="s">
        <v>51</v>
      </c>
      <c r="C11" s="17">
        <v>25</v>
      </c>
      <c r="D11" s="11" t="s">
        <v>11</v>
      </c>
      <c r="E11" s="11" t="s">
        <v>12</v>
      </c>
      <c r="F11" s="16">
        <f>59800</f>
        <v>59800</v>
      </c>
      <c r="G11" s="23">
        <f t="shared" si="1"/>
        <v>1495000</v>
      </c>
    </row>
    <row r="12" spans="1:11" x14ac:dyDescent="0.5">
      <c r="A12" s="11">
        <v>6</v>
      </c>
      <c r="B12" s="10" t="s">
        <v>54</v>
      </c>
      <c r="C12" s="17">
        <v>7</v>
      </c>
      <c r="D12" s="11" t="s">
        <v>22</v>
      </c>
      <c r="E12" s="11" t="s">
        <v>12</v>
      </c>
      <c r="F12" s="16">
        <f>17000</f>
        <v>17000</v>
      </c>
      <c r="G12" s="23">
        <f t="shared" si="1"/>
        <v>119000</v>
      </c>
    </row>
    <row r="13" spans="1:11" x14ac:dyDescent="0.5">
      <c r="A13" s="11">
        <v>7</v>
      </c>
      <c r="B13" s="10" t="s">
        <v>57</v>
      </c>
      <c r="C13" s="17">
        <v>3</v>
      </c>
      <c r="D13" s="11" t="s">
        <v>22</v>
      </c>
      <c r="E13" s="11" t="s">
        <v>12</v>
      </c>
      <c r="F13" s="16">
        <f>14100</f>
        <v>14100</v>
      </c>
      <c r="G13" s="23">
        <f t="shared" si="1"/>
        <v>42300</v>
      </c>
    </row>
    <row r="14" spans="1:11" x14ac:dyDescent="0.5">
      <c r="A14" s="11">
        <v>8</v>
      </c>
      <c r="B14" s="10" t="s">
        <v>55</v>
      </c>
      <c r="C14" s="17">
        <v>3</v>
      </c>
      <c r="D14" s="11" t="s">
        <v>22</v>
      </c>
      <c r="E14" s="11" t="s">
        <v>12</v>
      </c>
      <c r="F14" s="16">
        <f>9900</f>
        <v>9900</v>
      </c>
      <c r="G14" s="23">
        <f t="shared" si="1"/>
        <v>29700</v>
      </c>
    </row>
    <row r="15" spans="1:11" x14ac:dyDescent="0.5">
      <c r="A15" s="11">
        <v>9</v>
      </c>
      <c r="B15" s="10" t="s">
        <v>56</v>
      </c>
      <c r="C15" s="17">
        <v>2</v>
      </c>
      <c r="D15" s="11" t="s">
        <v>22</v>
      </c>
      <c r="E15" s="11" t="s">
        <v>19</v>
      </c>
      <c r="F15" s="16">
        <f>9800</f>
        <v>9800</v>
      </c>
      <c r="G15" s="23">
        <f t="shared" si="1"/>
        <v>19600</v>
      </c>
    </row>
    <row r="16" spans="1:11" x14ac:dyDescent="0.5">
      <c r="A16" s="11">
        <v>10</v>
      </c>
      <c r="B16" s="10" t="s">
        <v>65</v>
      </c>
      <c r="C16" s="17">
        <v>2</v>
      </c>
      <c r="D16" s="11" t="s">
        <v>22</v>
      </c>
      <c r="E16" s="11" t="s">
        <v>12</v>
      </c>
      <c r="F16" s="16">
        <v>37396</v>
      </c>
      <c r="G16" s="23">
        <f t="shared" si="1"/>
        <v>74792</v>
      </c>
    </row>
    <row r="17" spans="1:7" x14ac:dyDescent="0.5">
      <c r="A17" s="11">
        <v>11</v>
      </c>
      <c r="B17" s="10" t="s">
        <v>66</v>
      </c>
      <c r="C17" s="17">
        <v>1</v>
      </c>
      <c r="D17" s="11" t="s">
        <v>22</v>
      </c>
      <c r="E17" s="11" t="s">
        <v>12</v>
      </c>
      <c r="F17" s="16">
        <v>29001</v>
      </c>
      <c r="G17" s="23">
        <f t="shared" si="1"/>
        <v>29001</v>
      </c>
    </row>
    <row r="18" spans="1:7" x14ac:dyDescent="0.5">
      <c r="A18" s="11">
        <v>12</v>
      </c>
      <c r="B18" s="10" t="s">
        <v>67</v>
      </c>
      <c r="C18" s="17">
        <v>1</v>
      </c>
      <c r="D18" s="11" t="s">
        <v>22</v>
      </c>
      <c r="E18" s="11" t="s">
        <v>12</v>
      </c>
      <c r="F18" s="16">
        <v>27983</v>
      </c>
      <c r="G18" s="23">
        <f t="shared" si="1"/>
        <v>27983</v>
      </c>
    </row>
    <row r="19" spans="1:7" x14ac:dyDescent="0.5">
      <c r="A19" s="11">
        <v>13</v>
      </c>
      <c r="B19" s="10" t="s">
        <v>50</v>
      </c>
      <c r="C19" s="17">
        <v>4</v>
      </c>
      <c r="D19" s="11" t="s">
        <v>22</v>
      </c>
      <c r="E19" s="11" t="s">
        <v>19</v>
      </c>
      <c r="F19" s="16">
        <v>15000</v>
      </c>
      <c r="G19" s="23">
        <f t="shared" si="1"/>
        <v>60000</v>
      </c>
    </row>
    <row r="20" spans="1:7" x14ac:dyDescent="0.5">
      <c r="A20" s="11">
        <v>14</v>
      </c>
      <c r="B20" s="10" t="s">
        <v>69</v>
      </c>
      <c r="C20" s="17">
        <v>1</v>
      </c>
      <c r="D20" s="11" t="s">
        <v>22</v>
      </c>
      <c r="E20" s="11" t="s">
        <v>12</v>
      </c>
      <c r="F20" s="16">
        <v>27983</v>
      </c>
      <c r="G20" s="23">
        <f t="shared" ref="G20" si="2">C20*F20</f>
        <v>27983</v>
      </c>
    </row>
    <row r="21" spans="1:7" x14ac:dyDescent="0.5">
      <c r="A21" s="11">
        <v>15</v>
      </c>
      <c r="B21" s="10" t="s">
        <v>68</v>
      </c>
      <c r="C21" s="17">
        <v>1</v>
      </c>
      <c r="D21" s="11" t="s">
        <v>22</v>
      </c>
      <c r="E21" s="11" t="s">
        <v>12</v>
      </c>
      <c r="F21" s="16">
        <v>24676</v>
      </c>
      <c r="G21" s="23">
        <f t="shared" si="1"/>
        <v>24676</v>
      </c>
    </row>
    <row r="22" spans="1:7" x14ac:dyDescent="0.5">
      <c r="A22" s="11">
        <v>16</v>
      </c>
      <c r="B22" s="10" t="s">
        <v>70</v>
      </c>
      <c r="C22" s="17">
        <v>5</v>
      </c>
      <c r="D22" s="11" t="s">
        <v>22</v>
      </c>
      <c r="E22" s="11" t="s">
        <v>12</v>
      </c>
      <c r="F22" s="16">
        <f>5300</f>
        <v>5300</v>
      </c>
      <c r="G22" s="23">
        <f t="shared" ref="G22" si="3">C22*F22</f>
        <v>26500</v>
      </c>
    </row>
    <row r="23" spans="1:7" x14ac:dyDescent="0.5">
      <c r="A23" s="11"/>
      <c r="B23" s="10"/>
      <c r="C23" s="17"/>
      <c r="D23" s="11"/>
      <c r="E23" s="11"/>
      <c r="F23" s="10" t="s">
        <v>13</v>
      </c>
      <c r="G23" s="24">
        <f>SUM(G7:G21)</f>
        <v>36249035</v>
      </c>
    </row>
    <row r="24" spans="1:7" x14ac:dyDescent="0.5">
      <c r="A24" s="33" t="s">
        <v>14</v>
      </c>
      <c r="B24" s="13" t="s">
        <v>23</v>
      </c>
      <c r="C24" s="17"/>
      <c r="D24" s="11"/>
      <c r="E24" s="11"/>
      <c r="F24" s="10"/>
      <c r="G24" s="28"/>
    </row>
    <row r="25" spans="1:7" x14ac:dyDescent="0.5">
      <c r="A25" s="11">
        <v>1</v>
      </c>
      <c r="B25" s="10" t="s">
        <v>24</v>
      </c>
      <c r="C25" s="17">
        <v>1</v>
      </c>
      <c r="D25" s="11" t="s">
        <v>71</v>
      </c>
      <c r="E25" s="11" t="s">
        <v>17</v>
      </c>
      <c r="F25" s="16">
        <f>500000</f>
        <v>500000</v>
      </c>
      <c r="G25" s="23">
        <f>C25*F25</f>
        <v>500000</v>
      </c>
    </row>
    <row r="26" spans="1:7" x14ac:dyDescent="0.5">
      <c r="A26" s="11"/>
      <c r="B26" s="10"/>
      <c r="C26" s="17"/>
      <c r="D26" s="11"/>
      <c r="E26" s="11"/>
      <c r="F26" s="10" t="s">
        <v>13</v>
      </c>
      <c r="G26" s="24">
        <f>SUM(G25:G25)</f>
        <v>500000</v>
      </c>
    </row>
    <row r="27" spans="1:7" x14ac:dyDescent="0.5">
      <c r="A27" s="33" t="s">
        <v>16</v>
      </c>
      <c r="B27" s="13" t="s">
        <v>25</v>
      </c>
      <c r="C27" s="17"/>
      <c r="D27" s="11"/>
      <c r="E27" s="11"/>
      <c r="F27" s="10"/>
      <c r="G27" s="28"/>
    </row>
    <row r="28" spans="1:7" x14ac:dyDescent="0.5">
      <c r="A28" s="34">
        <v>1</v>
      </c>
      <c r="B28" s="10" t="s">
        <v>26</v>
      </c>
      <c r="C28" s="17">
        <f>2.4*3*0.2</f>
        <v>1.44</v>
      </c>
      <c r="D28" s="11" t="s">
        <v>81</v>
      </c>
      <c r="E28" s="11" t="s">
        <v>28</v>
      </c>
      <c r="F28" s="16">
        <f>144030.7</f>
        <v>144030.70000000001</v>
      </c>
      <c r="G28" s="23">
        <f>C28*F28</f>
        <v>207404.20800000001</v>
      </c>
    </row>
    <row r="29" spans="1:7" x14ac:dyDescent="0.5">
      <c r="A29" s="11">
        <f>A28+1</f>
        <v>2</v>
      </c>
      <c r="B29" s="10" t="s">
        <v>27</v>
      </c>
      <c r="C29" s="17">
        <f>+C31*75</f>
        <v>172.79999999999998</v>
      </c>
      <c r="D29" s="11" t="s">
        <v>21</v>
      </c>
      <c r="E29" s="11" t="s">
        <v>29</v>
      </c>
      <c r="F29" s="16">
        <f>22117.53</f>
        <v>22117.53</v>
      </c>
      <c r="G29" s="23">
        <f>C29*F29</f>
        <v>3821909.1839999994</v>
      </c>
    </row>
    <row r="30" spans="1:7" x14ac:dyDescent="0.5">
      <c r="A30" s="11">
        <f t="shared" ref="A30:A32" si="4">A29+1</f>
        <v>3</v>
      </c>
      <c r="B30" s="10" t="s">
        <v>30</v>
      </c>
      <c r="C30" s="17">
        <f>2.4*0.4*4</f>
        <v>3.84</v>
      </c>
      <c r="D30" s="11" t="s">
        <v>82</v>
      </c>
      <c r="E30" s="11" t="s">
        <v>34</v>
      </c>
      <c r="F30" s="16">
        <f>281065.56</f>
        <v>281065.56</v>
      </c>
      <c r="G30" s="23">
        <f>C30*F30</f>
        <v>1079291.7504</v>
      </c>
    </row>
    <row r="31" spans="1:7" x14ac:dyDescent="0.5">
      <c r="A31" s="11">
        <f t="shared" si="4"/>
        <v>4</v>
      </c>
      <c r="B31" s="10" t="s">
        <v>79</v>
      </c>
      <c r="C31" s="17">
        <f>2.4*2.4*0.4</f>
        <v>2.3039999999999998</v>
      </c>
      <c r="D31" s="11" t="s">
        <v>81</v>
      </c>
      <c r="E31" s="11" t="s">
        <v>33</v>
      </c>
      <c r="F31" s="16">
        <f>1609889.3</f>
        <v>1609889.3</v>
      </c>
      <c r="G31" s="23">
        <f>C31*F31</f>
        <v>3709184.9471999998</v>
      </c>
    </row>
    <row r="32" spans="1:7" x14ac:dyDescent="0.5">
      <c r="A32" s="11">
        <f t="shared" si="4"/>
        <v>5</v>
      </c>
      <c r="B32" s="10" t="s">
        <v>80</v>
      </c>
      <c r="C32" s="17">
        <f>0.3*0.4*9.6</f>
        <v>1.1519999999999999</v>
      </c>
      <c r="D32" s="11" t="s">
        <v>81</v>
      </c>
      <c r="E32" s="11" t="s">
        <v>33</v>
      </c>
      <c r="F32" s="16">
        <f>1609889.3</f>
        <v>1609889.3</v>
      </c>
      <c r="G32" s="23">
        <f>C32*F32</f>
        <v>1854592.4735999999</v>
      </c>
    </row>
    <row r="33" spans="1:7" x14ac:dyDescent="0.5">
      <c r="A33" s="11"/>
      <c r="B33" s="10"/>
      <c r="C33" s="17"/>
      <c r="D33" s="11"/>
      <c r="E33" s="11"/>
      <c r="F33" s="10" t="s">
        <v>13</v>
      </c>
      <c r="G33" s="24">
        <f>SUM(G28:G32)</f>
        <v>10672382.563199999</v>
      </c>
    </row>
    <row r="34" spans="1:7" x14ac:dyDescent="0.5">
      <c r="A34" s="11"/>
      <c r="B34" s="10"/>
      <c r="C34" s="17"/>
      <c r="D34" s="11"/>
      <c r="E34" s="11"/>
      <c r="F34" s="10"/>
      <c r="G34" s="28"/>
    </row>
    <row r="35" spans="1:7" x14ac:dyDescent="0.5">
      <c r="A35" s="33" t="s">
        <v>18</v>
      </c>
      <c r="B35" s="13" t="s">
        <v>45</v>
      </c>
      <c r="C35" s="17"/>
      <c r="D35" s="11"/>
      <c r="E35" s="11"/>
      <c r="F35" s="10"/>
      <c r="G35" s="28"/>
    </row>
    <row r="36" spans="1:7" x14ac:dyDescent="0.5">
      <c r="A36" s="34">
        <v>1</v>
      </c>
      <c r="B36" s="10" t="s">
        <v>35</v>
      </c>
      <c r="C36" s="45">
        <f>+(1.8*3.14*3)+(2.4)</f>
        <v>19.355999999999998</v>
      </c>
      <c r="D36" s="11" t="s">
        <v>39</v>
      </c>
      <c r="E36" s="11" t="s">
        <v>12</v>
      </c>
      <c r="F36" s="16">
        <f>81495.6</f>
        <v>81495.600000000006</v>
      </c>
      <c r="G36" s="23">
        <f t="shared" ref="G36:G50" si="5">C36*F36</f>
        <v>1577428.8336</v>
      </c>
    </row>
    <row r="37" spans="1:7" x14ac:dyDescent="0.5">
      <c r="A37" s="34">
        <v>2</v>
      </c>
      <c r="B37" s="10" t="s">
        <v>38</v>
      </c>
      <c r="C37" s="45">
        <f>+(1.8*3.14*3*2)+(2.4*2)+(1.8*3.14)</f>
        <v>44.363999999999997</v>
      </c>
      <c r="D37" s="11" t="s">
        <v>39</v>
      </c>
      <c r="E37" s="11" t="s">
        <v>12</v>
      </c>
      <c r="F37" s="16">
        <f>402116.29</f>
        <v>402116.29</v>
      </c>
      <c r="G37" s="23">
        <f t="shared" si="5"/>
        <v>17839487.089559998</v>
      </c>
    </row>
    <row r="38" spans="1:7" x14ac:dyDescent="0.5">
      <c r="A38" s="34">
        <v>3</v>
      </c>
      <c r="B38" s="10" t="s">
        <v>36</v>
      </c>
      <c r="C38" s="17">
        <v>2</v>
      </c>
      <c r="D38" s="11" t="s">
        <v>37</v>
      </c>
      <c r="E38" s="11" t="s">
        <v>17</v>
      </c>
      <c r="F38" s="16">
        <f>1800000</f>
        <v>1800000</v>
      </c>
      <c r="G38" s="23">
        <f t="shared" si="5"/>
        <v>3600000</v>
      </c>
    </row>
    <row r="39" spans="1:7" x14ac:dyDescent="0.5">
      <c r="A39" s="34">
        <v>4</v>
      </c>
      <c r="B39" s="10" t="s">
        <v>40</v>
      </c>
      <c r="C39" s="17">
        <f>1.8*3.14*4</f>
        <v>22.608000000000001</v>
      </c>
      <c r="D39" s="11" t="s">
        <v>39</v>
      </c>
      <c r="E39" s="11" t="s">
        <v>12</v>
      </c>
      <c r="F39" s="16">
        <f>402116.29</f>
        <v>402116.29</v>
      </c>
      <c r="G39" s="23">
        <f t="shared" si="5"/>
        <v>9091045.0843199994</v>
      </c>
    </row>
    <row r="40" spans="1:7" x14ac:dyDescent="0.5">
      <c r="A40" s="34">
        <v>5</v>
      </c>
      <c r="B40" s="10" t="s">
        <v>72</v>
      </c>
      <c r="C40" s="17">
        <f>0.6*3.14*2</f>
        <v>3.7679999999999998</v>
      </c>
      <c r="D40" s="11" t="s">
        <v>39</v>
      </c>
      <c r="E40" s="11" t="s">
        <v>12</v>
      </c>
      <c r="F40" s="16">
        <f>81495.6</f>
        <v>81495.600000000006</v>
      </c>
      <c r="G40" s="23">
        <f t="shared" si="5"/>
        <v>307075.42080000002</v>
      </c>
    </row>
    <row r="41" spans="1:7" x14ac:dyDescent="0.5">
      <c r="A41" s="34">
        <v>6</v>
      </c>
      <c r="B41" s="10" t="s">
        <v>42</v>
      </c>
      <c r="C41" s="17">
        <f>0.6*3.14*2</f>
        <v>3.7679999999999998</v>
      </c>
      <c r="D41" s="11" t="s">
        <v>39</v>
      </c>
      <c r="E41" s="11" t="s">
        <v>12</v>
      </c>
      <c r="F41" s="16">
        <f>402116.29</f>
        <v>402116.29</v>
      </c>
      <c r="G41" s="23">
        <f t="shared" si="5"/>
        <v>1515174.1807199998</v>
      </c>
    </row>
    <row r="42" spans="1:7" x14ac:dyDescent="0.5">
      <c r="A42" s="34">
        <v>7</v>
      </c>
      <c r="B42" s="10" t="s">
        <v>59</v>
      </c>
      <c r="C42" s="17">
        <f>0.025*3.14*12</f>
        <v>0.94200000000000017</v>
      </c>
      <c r="D42" s="11" t="s">
        <v>39</v>
      </c>
      <c r="E42" s="11" t="s">
        <v>12</v>
      </c>
      <c r="F42" s="16">
        <f>81495.6</f>
        <v>81495.600000000006</v>
      </c>
      <c r="G42" s="23">
        <f t="shared" si="5"/>
        <v>76768.85520000002</v>
      </c>
    </row>
    <row r="43" spans="1:7" x14ac:dyDescent="0.5">
      <c r="A43" s="34">
        <v>8</v>
      </c>
      <c r="B43" s="10" t="s">
        <v>60</v>
      </c>
      <c r="C43" s="17">
        <f>(10+2+2+2)*0.026*3.14</f>
        <v>1.3062400000000001</v>
      </c>
      <c r="D43" s="11" t="s">
        <v>39</v>
      </c>
      <c r="E43" s="11" t="s">
        <v>12</v>
      </c>
      <c r="F43" s="16">
        <f>402116.29</f>
        <v>402116.29</v>
      </c>
      <c r="G43" s="23">
        <f t="shared" si="5"/>
        <v>525260.38264960004</v>
      </c>
    </row>
    <row r="44" spans="1:7" x14ac:dyDescent="0.5">
      <c r="A44" s="34">
        <v>9</v>
      </c>
      <c r="B44" s="10" t="s">
        <v>61</v>
      </c>
      <c r="C44" s="17">
        <f>(12)*0.026*3.14</f>
        <v>0.97968</v>
      </c>
      <c r="D44" s="11" t="s">
        <v>39</v>
      </c>
      <c r="E44" s="11" t="s">
        <v>12</v>
      </c>
      <c r="F44" s="16">
        <f>402116.29</f>
        <v>402116.29</v>
      </c>
      <c r="G44" s="23">
        <f t="shared" ref="G44" si="6">C44*F44</f>
        <v>393945.28698719997</v>
      </c>
    </row>
    <row r="45" spans="1:7" x14ac:dyDescent="0.5">
      <c r="A45" s="34">
        <v>10</v>
      </c>
      <c r="B45" s="10" t="s">
        <v>62</v>
      </c>
      <c r="C45" s="17">
        <f>(2)*0.026*3.14</f>
        <v>0.16328000000000001</v>
      </c>
      <c r="D45" s="11" t="s">
        <v>39</v>
      </c>
      <c r="E45" s="11" t="s">
        <v>12</v>
      </c>
      <c r="F45" s="16">
        <f>402116.29</f>
        <v>402116.29</v>
      </c>
      <c r="G45" s="23">
        <f t="shared" ref="G45:G46" si="7">C45*F45</f>
        <v>65657.547831200005</v>
      </c>
    </row>
    <row r="46" spans="1:7" x14ac:dyDescent="0.5">
      <c r="A46" s="34">
        <v>11</v>
      </c>
      <c r="B46" s="10" t="s">
        <v>63</v>
      </c>
      <c r="C46" s="17">
        <v>18</v>
      </c>
      <c r="D46" s="11" t="s">
        <v>64</v>
      </c>
      <c r="E46" s="11" t="s">
        <v>12</v>
      </c>
      <c r="F46" s="16">
        <f>34199.06</f>
        <v>34199.06</v>
      </c>
      <c r="G46" s="23">
        <f t="shared" si="7"/>
        <v>615583.07999999996</v>
      </c>
    </row>
    <row r="47" spans="1:7" x14ac:dyDescent="0.5">
      <c r="A47" s="34">
        <v>12</v>
      </c>
      <c r="B47" s="10" t="s">
        <v>41</v>
      </c>
      <c r="C47" s="17">
        <v>1</v>
      </c>
      <c r="D47" s="11" t="s">
        <v>15</v>
      </c>
      <c r="E47" s="11" t="s">
        <v>17</v>
      </c>
      <c r="F47" s="16">
        <f>150000</f>
        <v>150000</v>
      </c>
      <c r="G47" s="23">
        <f t="shared" si="5"/>
        <v>150000</v>
      </c>
    </row>
    <row r="48" spans="1:7" x14ac:dyDescent="0.5">
      <c r="A48" s="34">
        <v>13</v>
      </c>
      <c r="B48" s="10" t="s">
        <v>44</v>
      </c>
      <c r="C48" s="17">
        <v>2</v>
      </c>
      <c r="D48" s="11" t="s">
        <v>15</v>
      </c>
      <c r="E48" s="11" t="s">
        <v>17</v>
      </c>
      <c r="F48" s="16">
        <f>250000</f>
        <v>250000</v>
      </c>
      <c r="G48" s="23">
        <f t="shared" si="5"/>
        <v>500000</v>
      </c>
    </row>
    <row r="49" spans="1:24" x14ac:dyDescent="0.5">
      <c r="A49" s="34">
        <v>14</v>
      </c>
      <c r="B49" s="10" t="s">
        <v>58</v>
      </c>
      <c r="C49" s="17">
        <v>1</v>
      </c>
      <c r="D49" s="11" t="s">
        <v>15</v>
      </c>
      <c r="E49" s="11" t="s">
        <v>17</v>
      </c>
      <c r="F49" s="16">
        <f>100000</f>
        <v>100000</v>
      </c>
      <c r="G49" s="23">
        <f t="shared" si="5"/>
        <v>100000</v>
      </c>
    </row>
    <row r="50" spans="1:24" x14ac:dyDescent="0.5">
      <c r="A50" s="34">
        <v>15</v>
      </c>
      <c r="B50" s="10" t="s">
        <v>43</v>
      </c>
      <c r="C50" s="17">
        <f>2.2*3.14*2.4+(2.2*2.2*0.785*2)+(0.03*3.14*12)</f>
        <v>25.308400000000006</v>
      </c>
      <c r="D50" s="11" t="s">
        <v>31</v>
      </c>
      <c r="E50" s="11" t="s">
        <v>83</v>
      </c>
      <c r="F50" s="16">
        <f>71462.1</f>
        <v>71462.100000000006</v>
      </c>
      <c r="G50" s="23">
        <f t="shared" si="5"/>
        <v>1808591.4116400005</v>
      </c>
    </row>
    <row r="51" spans="1:24" x14ac:dyDescent="0.5">
      <c r="A51" s="34">
        <v>16</v>
      </c>
      <c r="B51" s="10" t="s">
        <v>84</v>
      </c>
      <c r="C51" s="17">
        <f>24</f>
        <v>24</v>
      </c>
      <c r="D51" s="11" t="s">
        <v>85</v>
      </c>
      <c r="E51" s="11" t="s">
        <v>12</v>
      </c>
      <c r="F51" s="16">
        <f>397760</f>
        <v>397760</v>
      </c>
      <c r="G51" s="23">
        <f t="shared" ref="G51" si="8">C51*F51</f>
        <v>9546240</v>
      </c>
    </row>
    <row r="52" spans="1:24" x14ac:dyDescent="0.5">
      <c r="A52" s="34">
        <v>17</v>
      </c>
      <c r="B52" s="10" t="s">
        <v>46</v>
      </c>
      <c r="C52" s="17">
        <v>1</v>
      </c>
      <c r="D52" s="11" t="s">
        <v>32</v>
      </c>
      <c r="E52" s="11" t="s">
        <v>17</v>
      </c>
      <c r="F52" s="16">
        <f>319225</f>
        <v>319225</v>
      </c>
      <c r="G52" s="23">
        <f t="shared" ref="G52" si="9">C52*F52</f>
        <v>319225</v>
      </c>
    </row>
    <row r="53" spans="1:24" x14ac:dyDescent="0.5">
      <c r="A53" s="11"/>
      <c r="B53" s="10"/>
      <c r="C53" s="12"/>
      <c r="D53" s="10"/>
      <c r="E53" s="10"/>
      <c r="F53" s="10" t="s">
        <v>13</v>
      </c>
      <c r="G53" s="24">
        <f>SUM(G36:G52)</f>
        <v>48031482.173308</v>
      </c>
    </row>
    <row r="54" spans="1:24" ht="16.25" customHeight="1" thickBot="1" x14ac:dyDescent="0.55000000000000004">
      <c r="A54" s="35"/>
      <c r="B54" s="14"/>
      <c r="C54" s="15"/>
      <c r="D54" s="14"/>
      <c r="E54" s="14"/>
      <c r="F54" s="14"/>
      <c r="G54" s="25"/>
      <c r="H54" s="31"/>
      <c r="I54" s="30"/>
    </row>
    <row r="55" spans="1:24" ht="18" customHeight="1" thickBot="1" x14ac:dyDescent="0.55000000000000004">
      <c r="A55" s="59" t="s">
        <v>76</v>
      </c>
      <c r="B55" s="60"/>
      <c r="C55" s="40"/>
      <c r="D55" s="41"/>
      <c r="E55" s="55" t="s">
        <v>49</v>
      </c>
      <c r="F55" s="56"/>
      <c r="G55" s="29">
        <f>+G23+G26+G33+G53</f>
        <v>95452899.736507997</v>
      </c>
      <c r="I55" s="30"/>
    </row>
    <row r="56" spans="1:24" ht="16.149999999999999" customHeight="1" thickBot="1" x14ac:dyDescent="0.55000000000000004">
      <c r="A56" s="68" t="s">
        <v>88</v>
      </c>
      <c r="B56" s="69"/>
      <c r="C56" s="69"/>
      <c r="D56" s="70"/>
      <c r="E56" s="71" t="s">
        <v>86</v>
      </c>
      <c r="F56" s="72"/>
      <c r="G56" s="29">
        <f>G55*11/12</f>
        <v>87498491.425132334</v>
      </c>
      <c r="I56" s="30"/>
    </row>
    <row r="57" spans="1:24" ht="15.75" customHeight="1" thickBot="1" x14ac:dyDescent="0.55000000000000004">
      <c r="A57" s="68"/>
      <c r="B57" s="69"/>
      <c r="C57" s="69"/>
      <c r="D57" s="70"/>
      <c r="E57" s="57" t="s">
        <v>87</v>
      </c>
      <c r="F57" s="58"/>
      <c r="G57" s="29">
        <f>G56*0.12</f>
        <v>10499818.97101588</v>
      </c>
      <c r="H57" s="31"/>
      <c r="I57" s="30"/>
    </row>
    <row r="58" spans="1:24" ht="16.149999999999999" thickBot="1" x14ac:dyDescent="0.55000000000000004">
      <c r="A58" s="66"/>
      <c r="B58" s="73"/>
      <c r="C58" s="73"/>
      <c r="D58" s="67"/>
      <c r="E58" s="57" t="s">
        <v>47</v>
      </c>
      <c r="F58" s="58"/>
      <c r="G58" s="29">
        <f>SUM(G55+G57)</f>
        <v>105952718.70752388</v>
      </c>
      <c r="I58" s="30"/>
    </row>
    <row r="59" spans="1:24" ht="16.149999999999999" thickBot="1" x14ac:dyDescent="0.55000000000000004">
      <c r="A59" s="42"/>
      <c r="B59" s="43"/>
      <c r="C59" s="43"/>
      <c r="D59" s="44"/>
      <c r="E59" s="53" t="s">
        <v>48</v>
      </c>
      <c r="F59" s="54"/>
      <c r="G59" s="46">
        <f>ROUND(G58,-0.5)</f>
        <v>105952719</v>
      </c>
      <c r="I59" s="30"/>
      <c r="N59" s="36">
        <f>G59</f>
        <v>105952719</v>
      </c>
      <c r="O59" s="37">
        <v>1</v>
      </c>
      <c r="P59" s="37">
        <f>+O59*10</f>
        <v>10</v>
      </c>
      <c r="Q59" s="37">
        <f t="shared" ref="Q59:X59" si="10">+P59*10</f>
        <v>100</v>
      </c>
      <c r="R59" s="37">
        <f t="shared" si="10"/>
        <v>1000</v>
      </c>
      <c r="S59" s="37">
        <f t="shared" si="10"/>
        <v>10000</v>
      </c>
      <c r="T59" s="37">
        <f t="shared" si="10"/>
        <v>100000</v>
      </c>
      <c r="U59" s="37">
        <f t="shared" si="10"/>
        <v>1000000</v>
      </c>
      <c r="V59" s="37">
        <f t="shared" si="10"/>
        <v>10000000</v>
      </c>
      <c r="W59" s="37">
        <f t="shared" si="10"/>
        <v>100000000</v>
      </c>
      <c r="X59" s="37">
        <f t="shared" si="10"/>
        <v>1000000000</v>
      </c>
    </row>
    <row r="60" spans="1:24" x14ac:dyDescent="0.5">
      <c r="A60" s="4"/>
      <c r="B60" s="2"/>
      <c r="C60" s="5"/>
      <c r="D60" s="2"/>
      <c r="E60" s="2"/>
      <c r="F60" s="2"/>
      <c r="H60" s="47"/>
      <c r="I60" s="30"/>
      <c r="N60" s="38" t="s">
        <v>75</v>
      </c>
      <c r="O60" s="37">
        <v>0</v>
      </c>
      <c r="P60" s="39">
        <f>MOD(N59,P59)</f>
        <v>9</v>
      </c>
      <c r="Q60" s="39">
        <f>MOD(N59,Q59)</f>
        <v>19</v>
      </c>
      <c r="R60" s="39">
        <f>MOD(N59,R59)</f>
        <v>719</v>
      </c>
      <c r="S60" s="39">
        <f>MOD(N59,S59)</f>
        <v>2719</v>
      </c>
      <c r="T60" s="39">
        <f>MOD(N59,T59)</f>
        <v>52719</v>
      </c>
      <c r="U60" s="39">
        <f>MOD(N59,U59)</f>
        <v>952719</v>
      </c>
      <c r="V60" s="39">
        <f>MOD(N59,V59)</f>
        <v>5952719</v>
      </c>
      <c r="W60" s="39">
        <f>MOD(N59,W59)</f>
        <v>5952719</v>
      </c>
      <c r="X60" s="39">
        <f>MOD(N59,X59)</f>
        <v>105952719</v>
      </c>
    </row>
    <row r="61" spans="1:24" x14ac:dyDescent="0.5">
      <c r="A61" s="2"/>
      <c r="B61" s="2"/>
      <c r="C61" s="5"/>
      <c r="D61" s="2"/>
      <c r="E61" s="2"/>
      <c r="F61" s="2"/>
      <c r="H61" s="47"/>
      <c r="I61" s="30"/>
      <c r="N61" s="37"/>
      <c r="O61" s="37"/>
      <c r="P61" s="37">
        <f t="shared" ref="P61:U61" si="11">+P60-O60</f>
        <v>9</v>
      </c>
      <c r="Q61" s="37">
        <f t="shared" si="11"/>
        <v>10</v>
      </c>
      <c r="R61" s="37">
        <f t="shared" si="11"/>
        <v>700</v>
      </c>
      <c r="S61" s="37">
        <f t="shared" si="11"/>
        <v>2000</v>
      </c>
      <c r="T61" s="37">
        <f t="shared" si="11"/>
        <v>50000</v>
      </c>
      <c r="U61" s="37">
        <f t="shared" si="11"/>
        <v>900000</v>
      </c>
      <c r="V61" s="37">
        <f>+V60-U60</f>
        <v>5000000</v>
      </c>
      <c r="W61" s="37">
        <f t="shared" ref="W61:X61" si="12">+W60-V60</f>
        <v>0</v>
      </c>
      <c r="X61" s="37">
        <f t="shared" si="12"/>
        <v>100000000</v>
      </c>
    </row>
    <row r="62" spans="1:24" ht="15.4" x14ac:dyDescent="0.45">
      <c r="A62" s="47"/>
      <c r="B62" s="48"/>
      <c r="C62" s="49"/>
      <c r="D62" s="47"/>
      <c r="E62" s="47"/>
      <c r="F62" s="47"/>
      <c r="G62" s="50"/>
      <c r="H62" s="47"/>
      <c r="I62" s="30"/>
      <c r="N62" s="37"/>
      <c r="O62" s="37"/>
      <c r="P62" s="37">
        <f t="shared" ref="P62:U62" si="13">+P61*10/P59</f>
        <v>9</v>
      </c>
      <c r="Q62" s="37">
        <f t="shared" si="13"/>
        <v>1</v>
      </c>
      <c r="R62" s="37">
        <f t="shared" si="13"/>
        <v>7</v>
      </c>
      <c r="S62" s="37">
        <f t="shared" si="13"/>
        <v>2</v>
      </c>
      <c r="T62" s="37">
        <f t="shared" si="13"/>
        <v>5</v>
      </c>
      <c r="U62" s="37">
        <f t="shared" si="13"/>
        <v>9</v>
      </c>
      <c r="V62" s="37">
        <f>+V61*10/V59</f>
        <v>5</v>
      </c>
      <c r="W62" s="37">
        <f t="shared" ref="W62:X62" si="14">+W61*10/W59</f>
        <v>0</v>
      </c>
      <c r="X62" s="37">
        <f t="shared" si="14"/>
        <v>1</v>
      </c>
    </row>
    <row r="63" spans="1:24" ht="15.4" x14ac:dyDescent="0.45">
      <c r="A63" s="47"/>
      <c r="B63" s="48"/>
      <c r="C63" s="49"/>
      <c r="D63" s="47"/>
      <c r="E63" s="47"/>
      <c r="F63" s="47"/>
      <c r="G63" s="47"/>
      <c r="H63" s="47"/>
      <c r="N63" s="37"/>
      <c r="O63" s="37"/>
      <c r="P63" s="37" t="str">
        <f>IF(AND(P62&gt;0,Q62&lt;&gt;1),CHOOSE(P62,"satu","dua","tiga","empat","lima","enam","tujuh","delapan","sembilan"),"")</f>
        <v/>
      </c>
      <c r="Q63" s="37" t="str">
        <f>IF(Q62&gt;0,CHOOSE(Q62,CHOOSE(P62+1,"se","se","dua","tiga","empat","lima","enam","tujuh","delapan","sembilan"),"dua","tiga","empat","lima","enam","tujuh","delapan","sembilan"),"")</f>
        <v>sembilan</v>
      </c>
      <c r="R63" s="37" t="str">
        <f>IF(R62&gt;0,CHOOSE(R62,"se","dua","tiga","empat","lima","enam","tujuh","delapan","sembilan"),"")</f>
        <v>tujuh</v>
      </c>
      <c r="S63" s="37" t="str">
        <f>IF(AND(S62&gt;0,T62&lt;&gt;1),CHOOSE(S62,"satu","dua","tiga","empat","lima","enam","tujuh","delapan","sembilan"),"")</f>
        <v>dua</v>
      </c>
      <c r="T63" s="37" t="str">
        <f>IF(T62&gt;0,CHOOSE(T62,CHOOSE(S62+1,"se","se","dua","tiga","empat","lima","enam","tujuh","delapan","sembilan"),"dua","tiga","empat","lima","enam","tujuh","delapan","sembilan"),"")</f>
        <v>lima</v>
      </c>
      <c r="U63" s="37" t="str">
        <f>IF(U62&gt;0,CHOOSE(U62,"se","dua","tiga","empat","lima","enam","tujuh","delapan","sembilan"),"")</f>
        <v>sembilan</v>
      </c>
      <c r="V63" s="37" t="str">
        <f>IF(AND(V62&gt;0,W62&lt;&gt;1),CHOOSE(V62,"satu","dua","tiga","empat","lima","enam","tujuh","delapan","sembilan"),"")</f>
        <v>lima</v>
      </c>
      <c r="W63" s="37" t="str">
        <f>IF(W62&gt;0,CHOOSE(W62,CHOOSE(V62+1,"","se","dua","tiga","empat","lima","enam","tujuh","delapan","sembilan"),"dua","tiga","empat","lima","enam","tujuh","delapan","sembilan"),"")</f>
        <v/>
      </c>
      <c r="X63" s="37" t="str">
        <f>IF(X62&gt;0,CHOOSE(X62,"se","dua","tiga","empat","lima","enam","tujuh","delapan","sembilan"),"")</f>
        <v>se</v>
      </c>
    </row>
    <row r="64" spans="1:24" ht="15.4" x14ac:dyDescent="0.45">
      <c r="A64" s="47"/>
      <c r="B64" s="51"/>
      <c r="C64" s="49"/>
      <c r="D64" s="47"/>
      <c r="E64" s="47"/>
      <c r="F64" s="47"/>
      <c r="G64" s="47"/>
      <c r="H64" s="47"/>
      <c r="N64" s="37"/>
      <c r="O64" s="37"/>
      <c r="P64" s="37"/>
      <c r="Q64" s="37" t="str">
        <f>IF(Q62&gt;0,IF(AND(Q62=1,P62&gt;0)," belas "," puluh "),"")</f>
        <v xml:space="preserve"> belas </v>
      </c>
      <c r="R64" s="37" t="str">
        <f>IF(R62&gt;0," ratus ","")</f>
        <v xml:space="preserve"> ratus </v>
      </c>
      <c r="S64" s="37" t="str">
        <f>IF(SUM(S62,U62)&gt;0," ribu ","")</f>
        <v xml:space="preserve"> ribu </v>
      </c>
      <c r="T64" s="37" t="str">
        <f>IF(T62&gt;0,IF(AND(T62=1,S62&gt;0)," belas "," puluh "),"")</f>
        <v xml:space="preserve"> puluh </v>
      </c>
      <c r="U64" s="37" t="str">
        <f>IF(U62&gt;0," ratus ","")</f>
        <v xml:space="preserve"> ratus </v>
      </c>
      <c r="V64" s="37" t="str">
        <f>IF(SUM(V62,X62)&gt;0," juta ","")</f>
        <v xml:space="preserve"> juta </v>
      </c>
      <c r="W64" s="37" t="str">
        <f>IF(W62&gt;0,IF(AND(W62=1,V62&gt;0)," belas "," puluh "),"")</f>
        <v/>
      </c>
      <c r="X64" s="37" t="str">
        <f>IF(X62&gt;0," ratus ","")</f>
        <v xml:space="preserve"> ratus </v>
      </c>
    </row>
    <row r="65" spans="1:24" ht="15.4" x14ac:dyDescent="0.45">
      <c r="A65" s="47"/>
      <c r="B65" s="51"/>
      <c r="C65" s="49"/>
      <c r="D65" s="47"/>
      <c r="E65" s="47"/>
      <c r="F65" s="47"/>
      <c r="G65" s="47"/>
      <c r="H65" s="47"/>
      <c r="N65" s="37"/>
      <c r="O65" s="37"/>
      <c r="P65" s="37" t="str">
        <f>CONCATENATE(P63,P58)</f>
        <v/>
      </c>
      <c r="Q65" s="37" t="str">
        <f t="shared" ref="Q65:X65" si="15">CONCATENATE(Q63,Q64)</f>
        <v xml:space="preserve">sembilan belas </v>
      </c>
      <c r="R65" s="37" t="str">
        <f t="shared" si="15"/>
        <v xml:space="preserve">tujuh ratus </v>
      </c>
      <c r="S65" s="37" t="str">
        <f t="shared" si="15"/>
        <v xml:space="preserve">dua ribu </v>
      </c>
      <c r="T65" s="37" t="str">
        <f t="shared" si="15"/>
        <v xml:space="preserve">lima puluh </v>
      </c>
      <c r="U65" s="37" t="str">
        <f t="shared" si="15"/>
        <v xml:space="preserve">sembilan ratus </v>
      </c>
      <c r="V65" s="37" t="str">
        <f t="shared" si="15"/>
        <v xml:space="preserve">lima juta </v>
      </c>
      <c r="W65" s="37" t="str">
        <f t="shared" si="15"/>
        <v/>
      </c>
      <c r="X65" s="37" t="str">
        <f t="shared" si="15"/>
        <v xml:space="preserve">se ratus </v>
      </c>
    </row>
    <row r="66" spans="1:24" ht="15.4" x14ac:dyDescent="0.45">
      <c r="A66" s="47"/>
      <c r="B66" s="52"/>
      <c r="C66" s="49"/>
      <c r="D66" s="47"/>
      <c r="E66" s="47"/>
      <c r="F66" s="47"/>
      <c r="G66" s="47"/>
      <c r="H66" s="4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1:24" ht="15.4" x14ac:dyDescent="0.45">
      <c r="A67" s="47"/>
      <c r="B67" s="51"/>
      <c r="C67" s="49"/>
      <c r="D67" s="47"/>
      <c r="E67" s="47"/>
      <c r="F67" s="47"/>
      <c r="G67" s="47"/>
      <c r="H67" s="47"/>
      <c r="N67" s="38" t="str">
        <f>PROPER(CONCATENATE(X65,W65,V65,U65,T65,S65,R65,Q65,P65,N60))</f>
        <v>Se Ratus Lima Juta Sembilan Ratus Lima Puluh Dua Ribu Tujuh Ratus Sembilan Belas Rupiah</v>
      </c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1:24" ht="15.4" x14ac:dyDescent="0.45">
      <c r="A68" s="47"/>
      <c r="B68" s="51"/>
      <c r="C68" s="49"/>
      <c r="D68" s="47"/>
      <c r="E68" s="47"/>
      <c r="F68" s="47"/>
      <c r="G68" s="47"/>
      <c r="H68" s="47"/>
    </row>
    <row r="69" spans="1:24" ht="15.4" x14ac:dyDescent="0.45">
      <c r="A69" s="47"/>
      <c r="B69" s="51"/>
      <c r="C69" s="49"/>
      <c r="D69" s="47"/>
      <c r="E69" s="47"/>
      <c r="F69" s="47"/>
      <c r="G69" s="47"/>
    </row>
    <row r="70" spans="1:24" ht="15.4" x14ac:dyDescent="0.45">
      <c r="A70" s="47"/>
      <c r="B70" s="51"/>
      <c r="C70" s="49"/>
      <c r="D70" s="47"/>
      <c r="E70" s="47"/>
      <c r="F70" s="47"/>
      <c r="G70" s="47"/>
    </row>
  </sheetData>
  <mergeCells count="14">
    <mergeCell ref="A1:G1"/>
    <mergeCell ref="A4:A5"/>
    <mergeCell ref="B4:B5"/>
    <mergeCell ref="C4:C5"/>
    <mergeCell ref="D4:D5"/>
    <mergeCell ref="E4:E5"/>
    <mergeCell ref="A2:G2"/>
    <mergeCell ref="E59:F59"/>
    <mergeCell ref="E55:F55"/>
    <mergeCell ref="E57:F57"/>
    <mergeCell ref="E58:F58"/>
    <mergeCell ref="A55:B55"/>
    <mergeCell ref="A56:D57"/>
    <mergeCell ref="E56:F56"/>
  </mergeCells>
  <printOptions horizontalCentered="1"/>
  <pageMargins left="0.39" right="0.42" top="0.4" bottom="0.46" header="0.31496062992125984" footer="0.31496062992125984"/>
  <pageSetup paperSize="9" scale="74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</vt:lpstr>
      <vt:lpstr>Sheet1</vt:lpstr>
      <vt:lpstr>RAB!Print_Area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2025-06-13T05:41:07Z</dcterms:modified>
</cp:coreProperties>
</file>